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2500" windowHeight="13500" activeTab="5"/>
  </bookViews>
  <sheets>
    <sheet name="JHS-9 Ex A-1" sheetId="1" r:id="rId1"/>
    <sheet name="JHS-9 Ex A-2" sheetId="2" r:id="rId2"/>
    <sheet name="JHS-9 Ex A-3" sheetId="3" r:id="rId3"/>
    <sheet name="JHS-9 Ex A-4" sheetId="4" r:id="rId4"/>
    <sheet name="JHS-9 Ex A-5" sheetId="5" r:id="rId5"/>
    <sheet name="JHS-9 Exh D" sheetId="6" r:id="rId6"/>
  </sheets>
  <externalReferences>
    <externalReference r:id="rId9"/>
    <externalReference r:id="rId10"/>
  </externalReferences>
  <definedNames>
    <definedName name="__123Graph_ECURRENT" localSheetId="5" hidden="1">'[2]ConsolidatingPL'!#REF!</definedName>
    <definedName name="__123Graph_ECURRENT" hidden="1">#N/A</definedName>
    <definedName name="_Fill" hidden="1">#REF!</definedName>
    <definedName name="_Order1" hidden="1">255</definedName>
    <definedName name="_Order2" hidden="1">255</definedName>
    <definedName name="a" localSheetId="0" hidden="1">{#N/A,#N/A,FALSE,"Coversheet";#N/A,#N/A,FALSE,"QA"}</definedName>
    <definedName name="a" localSheetId="1" hidden="1">{#N/A,#N/A,FALSE,"Coversheet";#N/A,#N/A,FALSE,"QA"}</definedName>
    <definedName name="a" localSheetId="5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b" localSheetId="0" hidden="1">{#N/A,#N/A,FALSE,"Coversheet";#N/A,#N/A,FALSE,"QA"}</definedName>
    <definedName name="b" localSheetId="1" hidden="1">{#N/A,#N/A,FALSE,"Coversheet";#N/A,#N/A,FALSE,"QA"}</definedName>
    <definedName name="b" localSheetId="5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ELETE01" localSheetId="0" hidden="1">{#N/A,#N/A,FALSE,"Coversheet";#N/A,#N/A,FALSE,"QA"}</definedName>
    <definedName name="DELETE01" localSheetId="1" hidden="1">{#N/A,#N/A,FALSE,"Coversheet";#N/A,#N/A,FALSE,"QA"}</definedName>
    <definedName name="DELETE01" localSheetId="5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1" hidden="1">{#N/A,#N/A,FALSE,"Schedule F";#N/A,#N/A,FALSE,"Schedule G"}</definedName>
    <definedName name="DELETE02" localSheetId="5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localSheetId="1" hidden="1">{#N/A,#N/A,FALSE,"Coversheet";#N/A,#N/A,FALSE,"QA"}</definedName>
    <definedName name="Delete06" localSheetId="5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localSheetId="1" hidden="1">{#N/A,#N/A,FALSE,"Coversheet";#N/A,#N/A,FALSE,"QA"}</definedName>
    <definedName name="Delete09" localSheetId="5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1" hidden="1">{#N/A,#N/A,FALSE,"Coversheet";#N/A,#N/A,FALSE,"QA"}</definedName>
    <definedName name="Delete1" localSheetId="5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localSheetId="1" hidden="1">{#N/A,#N/A,FALSE,"Schedule F";#N/A,#N/A,FALSE,"Schedule G"}</definedName>
    <definedName name="Delete10" localSheetId="5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localSheetId="1" hidden="1">{#N/A,#N/A,FALSE,"Coversheet";#N/A,#N/A,FALSE,"QA"}</definedName>
    <definedName name="Delete21" localSheetId="5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localSheetId="1" hidden="1">{#N/A,#N/A,FALSE,"Coversheet";#N/A,#N/A,FALSE,"QA"}</definedName>
    <definedName name="DFIT" localSheetId="5" hidden="1">{#N/A,#N/A,FALSE,"Coversheet";#N/A,#N/A,FALSE,"QA"}</definedName>
    <definedName name="DFIT" hidden="1">{#N/A,#N/A,FALSE,"Coversheet";#N/A,#N/A,FALSE,"QA"}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0" hidden="1">{#N/A,#N/A,FALSE,"Summ";#N/A,#N/A,FALSE,"General"}</definedName>
    <definedName name="Estimate" localSheetId="1" hidden="1">{#N/A,#N/A,FALSE,"Summ";#N/A,#N/A,FALSE,"General"}</definedName>
    <definedName name="Estimate" localSheetId="5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localSheetId="1" hidden="1">{#N/A,#N/A,FALSE,"Summ";#N/A,#N/A,FALSE,"General"}</definedName>
    <definedName name="ex" localSheetId="5" hidden="1">{#N/A,#N/A,FALSE,"Summ";#N/A,#N/A,FALSE,"General"}</definedName>
    <definedName name="ex" hidden="1">{#N/A,#N/A,FALSE,"Summ";#N/A,#N/A,FALSE,"General"}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HELP" localSheetId="1" hidden="1">{#N/A,#N/A,FALSE,"Coversheet";#N/A,#N/A,FALSE,"QA"}</definedName>
    <definedName name="HELP" hidden="1">{#N/A,#N/A,FALSE,"Coversheet";#N/A,#N/A,FALSE,"QA"}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1" hidden="1">{#N/A,#N/A,FALSE,"Coversheet";#N/A,#N/A,FALSE,"QA"}</definedName>
    <definedName name="lookup" hidden="1">{#N/A,#N/A,FALSE,"Coversheet";#N/A,#N/A,FALSE,"QA"}</definedName>
    <definedName name="Miller" localSheetId="0" hidden="1">{#N/A,#N/A,FALSE,"Expenditures";#N/A,#N/A,FALSE,"Property Placed In-Service";#N/A,#N/A,FALSE,"CWIP Balances"}</definedName>
    <definedName name="Miller" localSheetId="1" hidden="1">{#N/A,#N/A,FALSE,"Expenditures";#N/A,#N/A,FALSE,"Property Placed In-Service";#N/A,#N/A,FALSE,"CWIP Balances"}</definedName>
    <definedName name="Miller" localSheetId="5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0" hidden="1">{#N/A,#N/A,FALSE,"Summ";#N/A,#N/A,FALSE,"General"}</definedName>
    <definedName name="new" localSheetId="1" hidden="1">{#N/A,#N/A,FALSE,"Summ";#N/A,#N/A,FALSE,"General"}</definedName>
    <definedName name="new" localSheetId="5" hidden="1">{#N/A,#N/A,FALSE,"Summ";#N/A,#N/A,FALSE,"General"}</definedName>
    <definedName name="new" hidden="1">{#N/A,#N/A,FALSE,"Summ";#N/A,#N/A,FALSE,"General"}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5">'JHS-9 Exh D'!$A$1:$O$247</definedName>
    <definedName name="_xlnm.Print_Titles" localSheetId="5">'JHS-9 Exh D'!$1:$9</definedName>
    <definedName name="qqq" localSheetId="0" hidden="1">{#N/A,#N/A,FALSE,"schA"}</definedName>
    <definedName name="qqq" localSheetId="1" hidden="1">{#N/A,#N/A,FALSE,"schA"}</definedName>
    <definedName name="qqq" localSheetId="5" hidden="1">{#N/A,#N/A,FALSE,"schA"}</definedName>
    <definedName name="qqq" hidden="1">{#N/A,#N/A,FALSE,"schA"}</definedName>
    <definedName name="six" localSheetId="0" hidden="1">{#N/A,#N/A,FALSE,"Drill Sites";"WP 212",#N/A,FALSE,"MWAG EOR";"WP 213",#N/A,FALSE,"MWAG EOR";#N/A,#N/A,FALSE,"Misc. Facility";#N/A,#N/A,FALSE,"WWTP"}</definedName>
    <definedName name="six" localSheetId="1" hidden="1">{#N/A,#N/A,FALSE,"Drill Sites";"WP 212",#N/A,FALSE,"MWAG EOR";"WP 213",#N/A,FALSE,"MWAG EOR";#N/A,#N/A,FALSE,"Misc. Facility";#N/A,#N/A,FALSE,"WWTP"}</definedName>
    <definedName name="six" localSheetId="5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ix6" localSheetId="0" hidden="1">{#N/A,#N/A,FALSE,"CRPT";#N/A,#N/A,FALSE,"TREND";#N/A,#N/A,FALSE,"%Curve"}</definedName>
    <definedName name="six6" localSheetId="1" hidden="1">{#N/A,#N/A,FALSE,"CRPT";#N/A,#N/A,FALSE,"TREND";#N/A,#N/A,FALSE,"%Curve"}</definedName>
    <definedName name="six6" localSheetId="5" hidden="1">{#N/A,#N/A,FALSE,"CRPT";#N/A,#N/A,FALSE,"TREND";#N/A,#N/A,FALSE,"%Curve"}</definedName>
    <definedName name="six6" hidden="1">{#N/A,#N/A,FALSE,"CRPT";#N/A,#N/A,FALSE,"TREND";#N/A,#N/A,FALSE,"%Curve"}</definedName>
    <definedName name="t" localSheetId="0" hidden="1">{#N/A,#N/A,FALSE,"CESTSUM";#N/A,#N/A,FALSE,"est sum A";#N/A,#N/A,FALSE,"est detail A"}</definedName>
    <definedName name="t" localSheetId="1" hidden="1">{#N/A,#N/A,FALSE,"CESTSUM";#N/A,#N/A,FALSE,"est sum A";#N/A,#N/A,FALSE,"est detail A"}</definedName>
    <definedName name="t" localSheetId="5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0" hidden="1">{#N/A,#N/A,FALSE,"Summ";#N/A,#N/A,FALSE,"General"}</definedName>
    <definedName name="TEMP" localSheetId="1" hidden="1">{#N/A,#N/A,FALSE,"Summ";#N/A,#N/A,FALSE,"General"}</definedName>
    <definedName name="TEMP" localSheetId="5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localSheetId="1" hidden="1">{#N/A,#N/A,FALSE,"CESTSUM";#N/A,#N/A,FALSE,"est sum A";#N/A,#N/A,FALSE,"est detail A"}</definedName>
    <definedName name="Temp1" localSheetId="5" hidden="1">{#N/A,#N/A,FALSE,"CESTSUM";#N/A,#N/A,FALSE,"est sum A";#N/A,#N/A,FALSE,"est detail A"}</definedName>
    <definedName name="Temp1" hidden="1">{#N/A,#N/A,FALSE,"CESTSUM";#N/A,#N/A,FALSE,"est sum A";#N/A,#N/A,FALSE,"est detail A"}</definedName>
    <definedName name="u" localSheetId="0" hidden="1">{#N/A,#N/A,FALSE,"Summ";#N/A,#N/A,FALSE,"General"}</definedName>
    <definedName name="u" localSheetId="1" hidden="1">{#N/A,#N/A,FALSE,"Summ";#N/A,#N/A,FALSE,"General"}</definedName>
    <definedName name="u" localSheetId="5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1" hidden="1">{#N/A,#N/A,FALSE,"Coversheet";#N/A,#N/A,FALSE,"QA"}</definedName>
    <definedName name="v" localSheetId="5" hidden="1">{#N/A,#N/A,FALSE,"Coversheet";#N/A,#N/A,FALSE,"QA"}</definedName>
    <definedName name="v" hidden="1">{#N/A,#N/A,FALSE,"Coversheet";#N/A,#N/A,FALSE,"QA"}</definedName>
    <definedName name="w" localSheetId="1" hidden="1">{#N/A,#N/A,FALSE,"Schedule F";#N/A,#N/A,FALSE,"Schedule G"}</definedName>
    <definedName name="w" localSheetId="5" hidden="1">{#N/A,#N/A,FALSE,"Schedule F";#N/A,#N/A,FALSE,"Schedule G"}</definedName>
    <definedName name="w" hidden="1">{#N/A,#N/A,FALSE,"Schedule F";#N/A,#N/A,FALSE,"Schedule G"}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1" hidden="1">{#N/A,#N/A,FALSE,"Coversheet";#N/A,#N/A,FALSE,"QA"}</definedName>
    <definedName name="WH" hidden="1">{#N/A,#N/A,FALSE,"Coversheet";#N/A,#N/A,FALSE,"QA"}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localSheetId="5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AAI." localSheetId="0" hidden="1">{#N/A,#N/A,FALSE,"CRPT";#N/A,#N/A,FALSE,"TREND";#N/A,#N/A,FALSE,"%Curve"}</definedName>
    <definedName name="wrn.AAI." localSheetId="1" hidden="1">{#N/A,#N/A,FALSE,"CRPT";#N/A,#N/A,FALSE,"TREND";#N/A,#N/A,FALSE,"%Curve"}</definedName>
    <definedName name="wrn.AAI." localSheetId="5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localSheetId="1" hidden="1">{#N/A,#N/A,FALSE,"CRPT";#N/A,#N/A,FALSE,"TREND";#N/A,#N/A,FALSE,"% CURVE"}</definedName>
    <definedName name="wrn.AAI._.Report." localSheetId="5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5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0" hidden="1">{#N/A,#N/A,FALSE,"schA"}</definedName>
    <definedName name="wrn.ECR." localSheetId="1" hidden="1">{#N/A,#N/A,FALSE,"schA"}</definedName>
    <definedName name="wrn.ECR." localSheetId="5" hidden="1">{#N/A,#N/A,FALSE,"schA"}</definedName>
    <definedName name="wrn.ECR." hidden="1">{#N/A,#N/A,FALSE,"schA"}</definedName>
    <definedName name="wrn.ESTIMATE." localSheetId="0" hidden="1">{#N/A,#N/A,FALSE,"CESTSUM";#N/A,#N/A,FALSE,"est sum A";#N/A,#N/A,FALSE,"est detail A"}</definedName>
    <definedName name="wrn.ESTIMATE." localSheetId="1" hidden="1">{#N/A,#N/A,FALSE,"CESTSUM";#N/A,#N/A,FALSE,"est sum A";#N/A,#N/A,FALSE,"est detail A"}</definedName>
    <definedName name="wrn.ESTIMATE." localSheetId="5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localSheetId="5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0" hidden="1">{#N/A,#N/A,FALSE,"SUMMARY";#N/A,#N/A,FALSE,"AE7616";#N/A,#N/A,FALSE,"AE7617";#N/A,#N/A,FALSE,"AE7618";#N/A,#N/A,FALSE,"AE7619"}</definedName>
    <definedName name="wrn.IEO." localSheetId="1" hidden="1">{#N/A,#N/A,FALSE,"SUMMARY";#N/A,#N/A,FALSE,"AE7616";#N/A,#N/A,FALSE,"AE7617";#N/A,#N/A,FALSE,"AE7618";#N/A,#N/A,FALSE,"AE7619"}</definedName>
    <definedName name="wrn.IEO." localSheetId="5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5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1" hidden="1">{#N/A,#N/A,FALSE,"Schedule F";#N/A,#N/A,FALSE,"Schedule G"}</definedName>
    <definedName name="wrn.limit_reports." localSheetId="5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0" hidden="1">{#N/A,#N/A,FALSE,"BASE";#N/A,#N/A,FALSE,"LOOPS";#N/A,#N/A,FALSE,"PLC"}</definedName>
    <definedName name="wrn.Project._.Services." localSheetId="1" hidden="1">{#N/A,#N/A,FALSE,"BASE";#N/A,#N/A,FALSE,"LOOPS";#N/A,#N/A,FALSE,"PLC"}</definedName>
    <definedName name="wrn.Project._.Services." localSheetId="5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0" hidden="1">{#N/A,#N/A,FALSE,"7617 Fab";#N/A,#N/A,FALSE,"7617 NSK"}</definedName>
    <definedName name="wrn.SCHEDULE." localSheetId="1" hidden="1">{#N/A,#N/A,FALSE,"7617 Fab";#N/A,#N/A,FALSE,"7617 NSK"}</definedName>
    <definedName name="wrn.SCHEDULE." localSheetId="5" hidden="1">{#N/A,#N/A,FALSE,"7617 Fab";#N/A,#N/A,FALSE,"7617 NSK"}</definedName>
    <definedName name="wrn.SCHEDULE." hidden="1">{#N/A,#N/A,FALSE,"7617 Fab";#N/A,#N/A,FALSE,"7617 NSK"}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localSheetId="5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localSheetId="5" hidden="1">{#N/A,#N/A,FALSE,"2002 Small Tool OH";#N/A,#N/A,FALSE,"QA"}</definedName>
    <definedName name="wrn.Small._.Tools._.Overhead." hidden="1">{#N/A,#N/A,FALSE,"2002 Small Tool OH";#N/A,#N/A,FALSE,"QA"}</definedName>
    <definedName name="wrn.Summary." localSheetId="0" hidden="1">{#N/A,#N/A,FALSE,"Summ";#N/A,#N/A,FALSE,"General"}</definedName>
    <definedName name="wrn.Summary." localSheetId="1" hidden="1">{#N/A,#N/A,FALSE,"Summ";#N/A,#N/A,FALSE,"General"}</definedName>
    <definedName name="wrn.Summary." localSheetId="5" hidden="1">{#N/A,#N/A,FALSE,"Summ";#N/A,#N/A,FALSE,"General"}</definedName>
    <definedName name="wrn.Summary." hidden="1">{#N/A,#N/A,FALSE,"Summ";#N/A,#N/A,FALSE,"General"}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5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localSheetId="1" hidden="1">{#N/A,#N/A,FALSE,"Expenditures";#N/A,#N/A,FALSE,"Property Placed In-Service";#N/A,#N/A,FALSE,"CWIP Balances"}</definedName>
    <definedName name="wrn.USIM_Data_Abbrev3." localSheetId="5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0" hidden="1">{#N/A,#N/A,FALSE,"schA"}</definedName>
    <definedName name="www" localSheetId="1" hidden="1">{#N/A,#N/A,FALSE,"schA"}</definedName>
    <definedName name="www" localSheetId="5" hidden="1">{#N/A,#N/A,FALSE,"schA"}</definedName>
    <definedName name="www" hidden="1">{#N/A,#N/A,FALSE,"schA"}</definedName>
    <definedName name="www1" localSheetId="0" hidden="1">{#N/A,#N/A,FALSE,"schA"}</definedName>
    <definedName name="www1" localSheetId="1" hidden="1">{#N/A,#N/A,FALSE,"schA"}</definedName>
    <definedName name="www1" localSheetId="5" hidden="1">{#N/A,#N/A,FALSE,"schA"}</definedName>
    <definedName name="www1" hidden="1">{#N/A,#N/A,FALSE,"schA"}</definedName>
    <definedName name="x" localSheetId="1" hidden="1">{#N/A,#N/A,FALSE,"Coversheet";#N/A,#N/A,FALSE,"QA"}</definedName>
    <definedName name="x" localSheetId="5" hidden="1">{#N/A,#N/A,FALSE,"Coversheet";#N/A,#N/A,FALSE,"QA"}</definedName>
    <definedName name="x" hidden="1">{#N/A,#N/A,FALSE,"Coversheet";#N/A,#N/A,FALSE,"QA"}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localSheetId="1" hidden="1">{#N/A,#N/A,FALSE,"Coversheet";#N/A,#N/A,FALSE,"QA"}</definedName>
    <definedName name="z" localSheetId="5" hidden="1">{#N/A,#N/A,FALSE,"Coversheet";#N/A,#N/A,FALSE,"QA"}</definedName>
    <definedName name="z" hidden="1">{#N/A,#N/A,FALSE,"Coversheet";#N/A,#N/A,FALSE,"QA"}</definedName>
    <definedName name="Z_03B5CB54_D950_4809_9BFA_B5E91687BDB2_.wvu.Cols" localSheetId="5" hidden="1">'JHS-9 Exh D'!#REF!</definedName>
    <definedName name="Z_03B5CB54_D950_4809_9BFA_B5E91687BDB2_.wvu.PrintArea" localSheetId="1" hidden="1">'JHS-9 Ex A-2'!$A$4:$E$46</definedName>
    <definedName name="Z_03B5CB54_D950_4809_9BFA_B5E91687BDB2_.wvu.PrintArea" localSheetId="5" hidden="1">'JHS-9 Exh D'!$A$1:$N$105</definedName>
    <definedName name="Z_067119CC_1C61_43DB_B4BB_54397DC63A91_.wvu.PrintArea" localSheetId="0" hidden="1">'JHS-9 Ex A-1'!$A$4:$H$56</definedName>
    <definedName name="Z_08940AE3_2B39_4679_8F23_53091628DE22_.wvu.Cols" localSheetId="2" hidden="1">'JHS-9 Ex A-3'!#REF!</definedName>
    <definedName name="Z_08940AE3_2B39_4679_8F23_53091628DE22_.wvu.PrintArea" localSheetId="2" hidden="1">'JHS-9 Ex A-3'!$A$1:$H$66</definedName>
    <definedName name="Z_0F2CC7FB_658B_4076_B2F4_70F2E8A73C62_.wvu.Cols" localSheetId="2" hidden="1">'JHS-9 Ex A-3'!#REF!</definedName>
    <definedName name="Z_0F2CC7FB_658B_4076_B2F4_70F2E8A73C62_.wvu.PrintArea" localSheetId="2" hidden="1">'JHS-9 Ex A-3'!$A$1:$H$66</definedName>
    <definedName name="Z_109A6FD5_7A38_487C_9B51_9E942A2A6DF7_.wvu.Cols" localSheetId="5" hidden="1">'JHS-9 Exh D'!#REF!</definedName>
    <definedName name="Z_109A6FD5_7A38_487C_9B51_9E942A2A6DF7_.wvu.PrintArea" localSheetId="5" hidden="1">'JHS-9 Exh D'!$A$1:$N$105</definedName>
    <definedName name="Z_124C812C_4A2C_4F7A_9C51_0C1396FF6214_.wvu.Cols" localSheetId="2" hidden="1">'JHS-9 Ex A-3'!#REF!</definedName>
    <definedName name="Z_124C812C_4A2C_4F7A_9C51_0C1396FF6214_.wvu.PrintArea" localSheetId="2" hidden="1">'JHS-9 Ex A-3'!$A$1:$H$66</definedName>
    <definedName name="Z_14262664_129C_4E9B_8245_4B43AF19E33A_.wvu.PrintArea" localSheetId="0" hidden="1">'JHS-9 Ex A-1'!$A$4:$H$56</definedName>
    <definedName name="Z_17768135_68BF_4539_94C0_50ED7816A698_.wvu.PrintArea" localSheetId="0" hidden="1">'JHS-9 Ex A-1'!$A$4:$H$56</definedName>
    <definedName name="Z_1E64D771_8C52_4EFE_8F0D_67326F432767_.wvu.PrintArea" localSheetId="0" hidden="1">'JHS-9 Ex A-1'!$A$4:$H$56</definedName>
    <definedName name="Z_2396DC2C_402A_4916_91F9_9FDB5C342408_.wvu.Cols" localSheetId="5" hidden="1">'JHS-9 Exh D'!#REF!</definedName>
    <definedName name="Z_2396DC2C_402A_4916_91F9_9FDB5C342408_.wvu.PrintArea" localSheetId="1" hidden="1">'JHS-9 Ex A-2'!$A$4:$E$46</definedName>
    <definedName name="Z_2396DC2C_402A_4916_91F9_9FDB5C342408_.wvu.PrintArea" localSheetId="5" hidden="1">'JHS-9 Exh D'!$A$1:$N$105</definedName>
    <definedName name="Z_28C5A156_92F3_4234_9C7A_A32D75F798CC_.wvu.PrintArea" localSheetId="0" hidden="1">'JHS-9 Ex A-1'!$A$4:$H$56</definedName>
    <definedName name="Z_2DBDF3D7_BA4D_404D_AE4B_DFD7008C0411_.wvu.PrintArea" localSheetId="0" hidden="1">'JHS-9 Ex A-1'!$A$4:$H$56</definedName>
    <definedName name="Z_30171EF4_8F5E_4A73_A7BD_AC361852ECC0_.wvu.Cols" localSheetId="5" hidden="1">'JHS-9 Exh D'!#REF!</definedName>
    <definedName name="Z_30171EF4_8F5E_4A73_A7BD_AC361852ECC0_.wvu.PrintArea" localSheetId="5" hidden="1">'JHS-9 Exh D'!$A$1:$N$105</definedName>
    <definedName name="Z_323B199E_96B9_4DC6_8637_E126F9BA7C08_.wvu.Cols" localSheetId="5" hidden="1">'JHS-9 Exh D'!#REF!</definedName>
    <definedName name="Z_323B199E_96B9_4DC6_8637_E126F9BA7C08_.wvu.PrintArea" localSheetId="5" hidden="1">'JHS-9 Exh D'!$A$1:$N$105</definedName>
    <definedName name="Z_33B41F79_FD24_4F36_8296_4697334AAAA8_.wvu.Cols" localSheetId="2" hidden="1">'JHS-9 Ex A-3'!#REF!</definedName>
    <definedName name="Z_360E262E_5544_471B_8912_5783F5DDE4E1_.wvu.Cols" localSheetId="2" hidden="1">'JHS-9 Ex A-3'!#REF!</definedName>
    <definedName name="Z_360E262E_5544_471B_8912_5783F5DDE4E1_.wvu.PrintArea" localSheetId="2" hidden="1">'JHS-9 Ex A-3'!$A$1:$H$66</definedName>
    <definedName name="Z_3797879C_3298_4122_A12D_3DFD0284FBDD_.wvu.PrintArea" localSheetId="0" hidden="1">'JHS-9 Ex A-1'!$A$4:$H$56</definedName>
    <definedName name="Z_3834E606_B28A_4696_9192_7BDA898195A1_.wvu.PrintArea" localSheetId="0" hidden="1">'JHS-9 Ex A-1'!$A$4:$H$56</definedName>
    <definedName name="Z_3DB8EC99_BD55_4ABF_B71E_F70797B0173C_.wvu.PrintArea" localSheetId="0" hidden="1">'JHS-9 Ex A-1'!$A$4:$H$56</definedName>
    <definedName name="Z_40B7FB48_DAE3_4682_852F_AC0650D2BE14_.wvu.PrintArea" localSheetId="0" hidden="1">'JHS-9 Ex A-1'!$A$4:$H$56</definedName>
    <definedName name="Z_41713566_6DDC_4C14_8259_D9C15B9E45DD_.wvu.PrintArea" localSheetId="0" hidden="1">'JHS-9 Ex A-1'!$A$4:$H$56</definedName>
    <definedName name="Z_423F2953_9177_4482_AE78_C7C47BA8995B_.wvu.PrintArea" localSheetId="0" hidden="1">'JHS-9 Ex A-1'!$A$4:$H$56</definedName>
    <definedName name="Z_46E5C546_9AEA_4E06_B017_805B7E255C92_.wvu.PrintArea" localSheetId="0" hidden="1">'JHS-9 Ex A-1'!$A$4:$H$56</definedName>
    <definedName name="Z_481D4E2E_20D4_45AB_AA2C_B34407716074_.wvu.Cols" localSheetId="5" hidden="1">'JHS-9 Exh D'!#REF!</definedName>
    <definedName name="Z_481D4E2E_20D4_45AB_AA2C_B34407716074_.wvu.PrintArea" localSheetId="5" hidden="1">'JHS-9 Exh D'!$A$1:$N$105</definedName>
    <definedName name="Z_4840C72E_33E7_45CF_A897_030BC56F6B90_.wvu.PrintArea" localSheetId="0" hidden="1">'JHS-9 Ex A-1'!$A$4:$H$56</definedName>
    <definedName name="Z_4E622CCD_D944_4FAF_AA88_B1B0E08B47FA_.wvu.Cols" localSheetId="2" hidden="1">'JHS-9 Ex A-3'!#REF!</definedName>
    <definedName name="Z_4E622CCD_D944_4FAF_AA88_B1B0E08B47FA_.wvu.PrintArea" localSheetId="2" hidden="1">'JHS-9 Ex A-3'!$A$1:$H$66</definedName>
    <definedName name="Z_5E49DE5F_0FCC_425D_A4A9_9AE99BAB6770_.wvu.Cols" localSheetId="2" hidden="1">'JHS-9 Ex A-3'!#REF!</definedName>
    <definedName name="Z_605C023E_A5C7_400F_9AAA_827B8FDB13A8_.wvu.PrintArea" localSheetId="0" hidden="1">'JHS-9 Ex A-1'!$A$4:$H$56</definedName>
    <definedName name="Z_62EE4FB2_B9F8_4C5D_BC5C_181361F6DD86_.wvu.PrintArea" localSheetId="0" hidden="1">'JHS-9 Ex A-1'!$A$4:$H$56</definedName>
    <definedName name="Z_663C3115_7A87_49DA_9260_EF1A41B87728_.wvu.Cols" localSheetId="5" hidden="1">'JHS-9 Exh D'!#REF!</definedName>
    <definedName name="Z_663C3115_7A87_49DA_9260_EF1A41B87728_.wvu.PrintArea" localSheetId="5" hidden="1">'JHS-9 Exh D'!$A$1:$N$105</definedName>
    <definedName name="Z_6BE2AA00_D0CA_4793_8091_7BAABD0B030C_.wvu.Cols" localSheetId="5" hidden="1">'JHS-9 Exh D'!#REF!</definedName>
    <definedName name="Z_6BE2AA00_D0CA_4793_8091_7BAABD0B030C_.wvu.PrintArea" localSheetId="1" hidden="1">'JHS-9 Ex A-2'!$A$4:$E$46</definedName>
    <definedName name="Z_6BE2AA00_D0CA_4793_8091_7BAABD0B030C_.wvu.PrintArea" localSheetId="5" hidden="1">'JHS-9 Exh D'!$A$1:$N$105</definedName>
    <definedName name="Z_6C054A84_7F92_45EC_B53F_EAC86C7019C4_.wvu.Cols" localSheetId="5" hidden="1">'JHS-9 Exh D'!#REF!</definedName>
    <definedName name="Z_6C054A84_7F92_45EC_B53F_EAC86C7019C4_.wvu.PrintArea" localSheetId="1" hidden="1">'JHS-9 Ex A-2'!$A$4:$E$46</definedName>
    <definedName name="Z_6C054A84_7F92_45EC_B53F_EAC86C7019C4_.wvu.PrintArea" localSheetId="5" hidden="1">'JHS-9 Exh D'!$A$1:$N$105</definedName>
    <definedName name="Z_6CCD15FF_0E65_46C3_9881_A9AD5C3EA28A_.wvu.Cols" localSheetId="5" hidden="1">'JHS-9 Exh D'!#REF!</definedName>
    <definedName name="Z_6CCD15FF_0E65_46C3_9881_A9AD5C3EA28A_.wvu.PrintArea" localSheetId="1" hidden="1">'JHS-9 Ex A-2'!$A$4:$E$46</definedName>
    <definedName name="Z_6CCD15FF_0E65_46C3_9881_A9AD5C3EA28A_.wvu.PrintArea" localSheetId="5" hidden="1">'JHS-9 Exh D'!$A$1:$N$105</definedName>
    <definedName name="Z_71BE80D5_D2E9_4DE2_BCB0_6CDBFC730EEB_.wvu.Cols" localSheetId="2" hidden="1">'JHS-9 Ex A-3'!#REF!</definedName>
    <definedName name="Z_72FEDAE6_5818_4398_BD73_F68F64A87D77_.wvu.Cols" localSheetId="2" hidden="1">'JHS-9 Ex A-3'!#REF!</definedName>
    <definedName name="Z_73DC5D62_B5F7_4FF1_B828_872B4B4D393C_.wvu.Cols" localSheetId="2" hidden="1">'JHS-9 Ex A-3'!#REF!</definedName>
    <definedName name="Z_7765C09D_9D61_4D8B_A0C4_7C6D784C2592_.wvu.Cols" localSheetId="5" hidden="1">'JHS-9 Exh D'!#REF!</definedName>
    <definedName name="Z_7765C09D_9D61_4D8B_A0C4_7C6D784C2592_.wvu.PrintArea" localSheetId="1" hidden="1">'JHS-9 Ex A-2'!$A$4:$E$46</definedName>
    <definedName name="Z_7765C09D_9D61_4D8B_A0C4_7C6D784C2592_.wvu.PrintArea" localSheetId="5" hidden="1">'JHS-9 Exh D'!$A$1:$N$105</definedName>
    <definedName name="Z_79762E65_90C4_47A1_86F2_E82D4A20979F_.wvu.Cols" localSheetId="2" hidden="1">'JHS-9 Ex A-3'!#REF!</definedName>
    <definedName name="Z_7B9E46E5_DE40_4DE3_A131_6EB2A495D794_.wvu.Cols" localSheetId="5" hidden="1">'JHS-9 Exh D'!#REF!</definedName>
    <definedName name="Z_7B9E46E5_DE40_4DE3_A131_6EB2A495D794_.wvu.PrintArea" localSheetId="5" hidden="1">'JHS-9 Exh D'!$A$1:$N$105</definedName>
    <definedName name="Z_7BA69DB9_9629_48D1_B18D_D9C903A40CAC_.wvu.Cols" localSheetId="2" hidden="1">'JHS-9 Ex A-3'!#REF!</definedName>
    <definedName name="Z_7BB893A1_9453_4866_8DE0_1A73FD3D4375_.wvu.Cols" localSheetId="2" hidden="1">'JHS-9 Ex A-3'!#REF!</definedName>
    <definedName name="Z_813D7A4F_EDF6_49ED_B8FD_B74D0B9276AB_.wvu.PrintArea" localSheetId="0" hidden="1">'JHS-9 Ex A-1'!$A$4:$H$56</definedName>
    <definedName name="Z_83C2B01C_2BB7_44E8_9FCB_52B0216AB579_.wvu.Cols" localSheetId="2" hidden="1">'JHS-9 Ex A-3'!#REF!</definedName>
    <definedName name="Z_84213CFC_D8F9_4E4C_B010_08EF5E3F8AD7_.wvu.Cols" localSheetId="5" hidden="1">'JHS-9 Exh D'!#REF!</definedName>
    <definedName name="Z_84213CFC_D8F9_4E4C_B010_08EF5E3F8AD7_.wvu.PrintArea" localSheetId="1" hidden="1">'JHS-9 Ex A-2'!$A$4:$E$46</definedName>
    <definedName name="Z_84213CFC_D8F9_4E4C_B010_08EF5E3F8AD7_.wvu.PrintArea" localSheetId="5" hidden="1">'JHS-9 Exh D'!$A$1:$N$105</definedName>
    <definedName name="Z_88A240CE_F5A6_4995_A526_0E22BADCFF6D_.wvu.PrintArea" localSheetId="0" hidden="1">'JHS-9 Ex A-1'!$A$4:$H$56</definedName>
    <definedName name="Z_8920654A_B782_40BF_9A51_A43F20A27C02_.wvu.PrintArea" localSheetId="0" hidden="1">'JHS-9 Ex A-1'!$A$4:$H$56</definedName>
    <definedName name="Z_8E7EA697_A1C1_4FA5_9CC7_93304413A154_.wvu.PrintArea" localSheetId="0" hidden="1">'JHS-9 Ex A-1'!$A$4:$H$56</definedName>
    <definedName name="Z_9425E5FD_17DF_4683_9D8C_95E099A01E16_.wvu.Cols" localSheetId="2" hidden="1">'JHS-9 Ex A-3'!#REF!</definedName>
    <definedName name="Z_9425E5FD_17DF_4683_9D8C_95E099A01E16_.wvu.PrintArea" localSheetId="2" hidden="1">'JHS-9 Ex A-3'!$A$1:$H$66</definedName>
    <definedName name="Z_990691EF_FF43_4000_BCD8_6862D2BAD44A_.wvu.PrintArea" localSheetId="0" hidden="1">'JHS-9 Ex A-1'!$A$4:$H$56</definedName>
    <definedName name="Z_9DB1448B_0B06_4897_A7CD_BCAC8E925C6E_.wvu.Cols" localSheetId="2" hidden="1">'JHS-9 Ex A-3'!#REF!</definedName>
    <definedName name="Z_9EDECD17_2FEA_43EF_915A_B991229DF9B6_.wvu.Cols" localSheetId="2" hidden="1">'JHS-9 Ex A-3'!#REF!</definedName>
    <definedName name="Z_9EDECD17_2FEA_43EF_915A_B991229DF9B6_.wvu.PrintArea" localSheetId="2" hidden="1">'JHS-9 Ex A-3'!$A$1:$H$66</definedName>
    <definedName name="Z_A1FA6151_E2D3_4099_BB8D_6C3F74D8C23B_.wvu.Cols" localSheetId="2" hidden="1">'JHS-9 Ex A-3'!#REF!</definedName>
    <definedName name="Z_A3FBC4C2_6ECB_480C_89DD_35506B048870_.wvu.PrintArea" localSheetId="0" hidden="1">'JHS-9 Ex A-1'!$A$4:$H$56</definedName>
    <definedName name="Z_A5386FC6_060C_4FF8_9754_8F41ED24E370_.wvu.Cols" localSheetId="5" hidden="1">'JHS-9 Exh D'!#REF!</definedName>
    <definedName name="Z_A5386FC6_060C_4FF8_9754_8F41ED24E370_.wvu.PrintArea" localSheetId="5" hidden="1">'JHS-9 Exh D'!$A$1:$N$105</definedName>
    <definedName name="Z_A68D84AC_3459_4B1A_A82C_09666110CF77_.wvu.Cols" localSheetId="5" hidden="1">'JHS-9 Exh D'!#REF!</definedName>
    <definedName name="Z_A68D84AC_3459_4B1A_A82C_09666110CF77_.wvu.PrintArea" localSheetId="5" hidden="1">'JHS-9 Exh D'!$A$1:$N$105</definedName>
    <definedName name="Z_ACABE5FC_E604_45C9_ACB7_53C863CA19F6_.wvu.PrintArea" localSheetId="0" hidden="1">'JHS-9 Ex A-1'!$A$4:$H$56</definedName>
    <definedName name="Z_AD88DA1E_4535_4A0F_86F8_39D7812ED88C_.wvu.Cols" localSheetId="5" hidden="1">'JHS-9 Exh D'!#REF!</definedName>
    <definedName name="Z_AD88DA1E_4535_4A0F_86F8_39D7812ED88C_.wvu.PrintArea" localSheetId="5" hidden="1">'JHS-9 Exh D'!$A$1:$N$105</definedName>
    <definedName name="Z_B1F8DC23_D716_49D3_B2ED_6AD79DCC127D_.wvu.Cols" localSheetId="5" hidden="1">'JHS-9 Exh D'!#REF!</definedName>
    <definedName name="Z_B1F8DC23_D716_49D3_B2ED_6AD79DCC127D_.wvu.PrintArea" localSheetId="5" hidden="1">'JHS-9 Exh D'!$A$1:$N$105</definedName>
    <definedName name="Z_B645129D_C5C8_4408_A211_8D284ED241D4_.wvu.Cols" localSheetId="5" hidden="1">'JHS-9 Exh D'!#REF!</definedName>
    <definedName name="Z_B645129D_C5C8_4408_A211_8D284ED241D4_.wvu.PrintArea" localSheetId="5" hidden="1">'JHS-9 Exh D'!$A$1:$N$105</definedName>
    <definedName name="Z_BA39091D_C7FC_45D0_82A3_5E4EAAFABA5A_.wvu.PrintArea" localSheetId="0" hidden="1">'JHS-9 Ex A-1'!$A$4:$H$56</definedName>
    <definedName name="Z_BBEC464C_25F9_4835_BB05_13062D5DEAC1_.wvu.PrintArea" localSheetId="0" hidden="1">'JHS-9 Ex A-1'!$A$4:$H$56</definedName>
    <definedName name="Z_BFF4269F_5159_4FE7_8C1B_7EF258D66D6C_.wvu.Cols" localSheetId="5" hidden="1">'JHS-9 Exh D'!#REF!</definedName>
    <definedName name="Z_BFF4269F_5159_4FE7_8C1B_7EF258D66D6C_.wvu.PrintArea" localSheetId="1" hidden="1">'JHS-9 Ex A-2'!$A$4:$E$46</definedName>
    <definedName name="Z_BFF4269F_5159_4FE7_8C1B_7EF258D66D6C_.wvu.PrintArea" localSheetId="5" hidden="1">'JHS-9 Exh D'!$A$1:$N$105</definedName>
    <definedName name="Z_C3CE34FF_D7D7_4ECF_B6E1_4700E3130E94_.wvu.PrintArea" localSheetId="0" hidden="1">'JHS-9 Ex A-1'!$A$4:$H$56</definedName>
    <definedName name="Z_C4883C13_F396_4F7E_A779_FD99A50836F3_.wvu.Cols" localSheetId="5" hidden="1">'JHS-9 Exh D'!#REF!</definedName>
    <definedName name="Z_C4883C13_F396_4F7E_A779_FD99A50836F3_.wvu.PrintArea" localSheetId="1" hidden="1">'JHS-9 Ex A-2'!$A$4:$E$46</definedName>
    <definedName name="Z_C4883C13_F396_4F7E_A779_FD99A50836F3_.wvu.PrintArea" localSheetId="5" hidden="1">'JHS-9 Exh D'!$A$1:$N$105</definedName>
    <definedName name="Z_C63704F0_44AC_4DFF_9CE1_040677F2E727_.wvu.Cols" localSheetId="2" hidden="1">'JHS-9 Ex A-3'!#REF!</definedName>
    <definedName name="Z_C63704F0_44AC_4DFF_9CE1_040677F2E727_.wvu.PrintArea" localSheetId="2" hidden="1">'JHS-9 Ex A-3'!$A$1:$H$66</definedName>
    <definedName name="Z_CD5012F4_E6A6_495E_BF90_5F6D9EE7AF29_.wvu.PrintArea" localSheetId="0" hidden="1">'JHS-9 Ex A-1'!$A$4:$H$56</definedName>
    <definedName name="Z_D034A8AA_A968_4D12_B6AF_09F53E5CD513_.wvu.PrintArea" localSheetId="0" hidden="1">'JHS-9 Ex A-1'!$A$4:$H$56</definedName>
    <definedName name="Z_D15D6F26_DA6E_456D_B7F5_850E9F3039F7_.wvu.Cols" localSheetId="5" hidden="1">'JHS-9 Exh D'!#REF!</definedName>
    <definedName name="Z_D15D6F26_DA6E_456D_B7F5_850E9F3039F7_.wvu.PrintArea" localSheetId="5" hidden="1">'JHS-9 Exh D'!$A$1:$N$105</definedName>
    <definedName name="Z_D358E58B_5EA6_4EB2_8562_4D9FEBA8EA54_.wvu.PrintArea" localSheetId="0" hidden="1">'JHS-9 Ex A-1'!$A$4:$H$56</definedName>
    <definedName name="Z_D564613F_7CF3_40DE_8CDA_0C25C1F35855_.wvu.PrintArea" localSheetId="0" hidden="1">'JHS-9 Ex A-1'!$A$4:$H$56</definedName>
    <definedName name="Z_D86EDF48_CDEA_4A90_8E1A_7F0B5E967DBE_.wvu.Cols" localSheetId="2" hidden="1">'JHS-9 Ex A-3'!#REF!</definedName>
    <definedName name="Z_DA82D128_5452_45C5_914D_4ECF8FABD1C5_.wvu.Cols" localSheetId="5" hidden="1">'JHS-9 Exh D'!#REF!</definedName>
    <definedName name="Z_DA82D128_5452_45C5_914D_4ECF8FABD1C5_.wvu.PrintArea" localSheetId="5" hidden="1">'JHS-9 Exh D'!$A$1:$N$105</definedName>
    <definedName name="Z_DD70B4E1_CC64_4568_BFD6_83390A7B0268_.wvu.PrintArea" localSheetId="0" hidden="1">'JHS-9 Ex A-1'!$A$4:$H$56</definedName>
    <definedName name="Z_DF4E3B04_E442_43A1_A47D_E26F6CE7F11C_.wvu.PrintArea" localSheetId="0" hidden="1">'JHS-9 Ex A-1'!$A$4:$H$56</definedName>
    <definedName name="Z_E289851B_405E_4A98_8191_445F20CA287E_.wvu.Cols" localSheetId="5" hidden="1">'JHS-9 Exh D'!#REF!</definedName>
    <definedName name="Z_E289851B_405E_4A98_8191_445F20CA287E_.wvu.PrintArea" localSheetId="5" hidden="1">'JHS-9 Exh D'!$A$1:$N$105</definedName>
    <definedName name="Z_E2C26153_D457_4603_B564_60CFADB5026B_.wvu.PrintArea" localSheetId="0" hidden="1">'JHS-9 Ex A-1'!$A$4:$H$56</definedName>
    <definedName name="Z_E4F9A0CE_47D0_4F72_86F1_E5F20B9A3104_.wvu.Cols" localSheetId="2" hidden="1">'JHS-9 Ex A-3'!#REF!</definedName>
    <definedName name="Z_E98B4028_3602_46AA_8C00_41FD8ABF8836_.wvu.PrintArea" localSheetId="0" hidden="1">'JHS-9 Ex A-1'!$A$4:$H$56</definedName>
    <definedName name="Z_EDF3DC03_FBB9_4397_9335_6FA548B9B5CD_.wvu.PrintArea" localSheetId="0" hidden="1">'JHS-9 Ex A-1'!$A$4:$H$56</definedName>
    <definedName name="Z_EE559E07_5B41_4877_A4D7_2B8A63F8CFFE_.wvu.Cols" localSheetId="5" hidden="1">'JHS-9 Exh D'!#REF!</definedName>
    <definedName name="Z_EE559E07_5B41_4877_A4D7_2B8A63F8CFFE_.wvu.PrintArea" localSheetId="5" hidden="1">'JHS-9 Exh D'!$A$1:$N$105</definedName>
    <definedName name="Z_F2FA841B_253A_4182_A288_13748E201B99_.wvu.Cols" localSheetId="2" hidden="1">'JHS-9 Ex A-3'!#REF!</definedName>
    <definedName name="Z_F2FA841B_253A_4182_A288_13748E201B99_.wvu.PrintArea" localSheetId="2" hidden="1">'JHS-9 Ex A-3'!$A$109:$E$117</definedName>
    <definedName name="Z_F531E925_9E0B_409C_9EAA_ADCDD51D6BA7_.wvu.PrintArea" localSheetId="0" hidden="1">'JHS-9 Ex A-1'!$A$4:$H$56</definedName>
    <definedName name="Z_F985D028_064A_46CA_9D34_E4E9B88A9B3C_.wvu.PrintArea" localSheetId="0" hidden="1">'JHS-9 Ex A-1'!$A$4:$H$56</definedName>
    <definedName name="Z_FA8E6920_4213_45BA_ADAB_F0B62DF69468_.wvu.Cols" localSheetId="2" hidden="1">'JHS-9 Ex A-3'!#REF!</definedName>
    <definedName name="Z_FEFCE477_944B_4DAC_AD75_686CC83D0F0B_.wvu.PrintArea" localSheetId="0" hidden="1">'JHS-9 Ex A-1'!$A$4:$H$56</definedName>
  </definedNames>
  <calcPr fullCalcOnLoad="1"/>
</workbook>
</file>

<file path=xl/comments6.xml><?xml version="1.0" encoding="utf-8"?>
<comments xmlns="http://schemas.openxmlformats.org/spreadsheetml/2006/main">
  <authors>
    <author>sfree</author>
  </authors>
  <commentList>
    <comment ref="N232" authorId="0">
      <text>
        <r>
          <rPr>
            <b/>
            <sz val="8"/>
            <rFont val="Tahoma"/>
            <family val="2"/>
          </rPr>
          <t>sfree:</t>
        </r>
        <r>
          <rPr>
            <sz val="8"/>
            <rFont val="Tahoma"/>
            <family val="2"/>
          </rPr>
          <t xml:space="preserve">
Final Revised per UE-051314.  Adjustment between originally filed and final posted in December 2005.
($32,966,029 - $32,956,707 = $9,322)</t>
        </r>
      </text>
    </comment>
    <comment ref="B234" authorId="0">
      <text>
        <r>
          <rPr>
            <sz val="10"/>
            <rFont val="Tahoma"/>
            <family val="2"/>
          </rPr>
          <t>6 Month Time Period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<sst xmlns="http://schemas.openxmlformats.org/spreadsheetml/2006/main" count="842" uniqueCount="396">
  <si>
    <t>Exhibit A-1 Power Cost Rate</t>
  </si>
  <si>
    <t>TOTAL</t>
  </si>
  <si>
    <t>Row</t>
  </si>
  <si>
    <t xml:space="preserve">Test Year </t>
  </si>
  <si>
    <t>Regulatory Assets (Variable)</t>
  </si>
  <si>
    <t>Transmission Rate Base (Fixed)</t>
  </si>
  <si>
    <t>Production Rate Base (Fixed)</t>
  </si>
  <si>
    <t>Production</t>
  </si>
  <si>
    <t>Net of tax rate of return</t>
  </si>
  <si>
    <t>Factor</t>
  </si>
  <si>
    <t>Test Yr</t>
  </si>
  <si>
    <t>$/MWh</t>
  </si>
  <si>
    <t>Rate Year</t>
  </si>
  <si>
    <t>Per Month for Schedule B</t>
  </si>
  <si>
    <t>Regulatory Asset Recovery (on Row 3)</t>
  </si>
  <si>
    <t>(c)</t>
  </si>
  <si>
    <t>Fixed Asset Recovery Other (on Row 4)</t>
  </si>
  <si>
    <t>(a)</t>
  </si>
  <si>
    <t>Fixed Asset Recovery-Prod Factored (on Row 5)</t>
  </si>
  <si>
    <t>501-Steam Fuel</t>
  </si>
  <si>
    <t>555-Purchased power</t>
  </si>
  <si>
    <t>14a</t>
  </si>
  <si>
    <t>Rate Disallowances for March Point 2</t>
  </si>
  <si>
    <t>557-Other Power Exp</t>
  </si>
  <si>
    <t>15a</t>
  </si>
  <si>
    <t>Payroll Overheads - Worker's Comp</t>
  </si>
  <si>
    <t>15b</t>
  </si>
  <si>
    <t>Property Insurance</t>
  </si>
  <si>
    <t>15c</t>
  </si>
  <si>
    <t>Montana Electric Energy Tax</t>
  </si>
  <si>
    <t>15d</t>
  </si>
  <si>
    <t>Payroll Taxes on Production Wages</t>
  </si>
  <si>
    <t>547-Fuel</t>
  </si>
  <si>
    <t>565-Wheeling</t>
  </si>
  <si>
    <t>Variable Transmission Income</t>
  </si>
  <si>
    <t>Hydro and Other Pwr.</t>
  </si>
  <si>
    <t>447-Sales to Others</t>
  </si>
  <si>
    <t>456-Subaccounts 00012 &amp; 00018 and 00035 &amp; 00036</t>
  </si>
  <si>
    <t>Transmission Exp - 500KV</t>
  </si>
  <si>
    <t>Depreciation &amp; Amort -Production (FERC 403)</t>
  </si>
  <si>
    <t>Depreciation-Transmission</t>
  </si>
  <si>
    <t>Amortization-Production Reg Assets</t>
  </si>
  <si>
    <t>Property Taxes-Production</t>
  </si>
  <si>
    <t xml:space="preserve"> </t>
  </si>
  <si>
    <t>Property Taxes-Transmission</t>
  </si>
  <si>
    <t>Hedging Line of Credit</t>
  </si>
  <si>
    <t xml:space="preserve">  Subtotal &amp; Baseline Rate</t>
  </si>
  <si>
    <t>(b)</t>
  </si>
  <si>
    <t>Revenue Sensitive Items</t>
  </si>
  <si>
    <t>Test Year DELIVERED Load (MWH's)</t>
  </si>
  <si>
    <t xml:space="preserve"> &lt;-- includes Firm Wholesale</t>
  </si>
  <si>
    <t>Before Rev.</t>
  </si>
  <si>
    <t>After Rev.</t>
  </si>
  <si>
    <t>Sensitive Items</t>
  </si>
  <si>
    <t>Power Cost in Rates with Revenue Sensitive</t>
  </si>
  <si>
    <t>Items (the adjusted baseline)</t>
  </si>
  <si>
    <t xml:space="preserve">sum of (a) = Fixed Rate Component </t>
  </si>
  <si>
    <t>(b) = Power Cost Rate</t>
  </si>
  <si>
    <t>sum of (c) = Variable Power Rate Component</t>
  </si>
  <si>
    <t>BEP (555)</t>
  </si>
  <si>
    <t>WHITE RIVER PLANT COSTS (407)</t>
  </si>
  <si>
    <t>WHITE RIVER RELICENSING &amp; CWIP</t>
  </si>
  <si>
    <t>HOPKINS RIDGE PREPAID TRANSMISSION (565)</t>
  </si>
  <si>
    <t>GOLDENDALE FIXED COSTS DEFERRAL (407.3)</t>
  </si>
  <si>
    <t>HOPKINS RIDGE MITIGATION CREDIT (555)</t>
  </si>
  <si>
    <t>MINT FARM DEFERRAL (407.3)</t>
  </si>
  <si>
    <t>WILD HORSE EXPANSION DEFERRAL (407.3)</t>
  </si>
  <si>
    <t>LOWER SNAKE RIVER PREPAID TRANS DEPOSITS (407.3)</t>
  </si>
  <si>
    <t>Exhibit A-2 Transmission Rate Base</t>
  </si>
  <si>
    <t>Plant</t>
  </si>
  <si>
    <t>AMA Accum</t>
  </si>
  <si>
    <t>Annualized</t>
  </si>
  <si>
    <t>AMA 12/31/2010</t>
  </si>
  <si>
    <t>Deprec/Amort</t>
  </si>
  <si>
    <t>Net</t>
  </si>
  <si>
    <t>Depreciation</t>
  </si>
  <si>
    <t>TRANS - COLSTRIP 1 &amp; 2</t>
  </si>
  <si>
    <t>E350</t>
  </si>
  <si>
    <t>Land and Land Rights</t>
  </si>
  <si>
    <t>E351</t>
  </si>
  <si>
    <t>Easements</t>
  </si>
  <si>
    <t>E353</t>
  </si>
  <si>
    <t>Station Equipment</t>
  </si>
  <si>
    <t>E354</t>
  </si>
  <si>
    <t>Towers &amp; Fixtures</t>
  </si>
  <si>
    <t>E355</t>
  </si>
  <si>
    <t>Poles &amp; Fixtures</t>
  </si>
  <si>
    <t>E356</t>
  </si>
  <si>
    <t>OH Conductors &amp; Devices</t>
  </si>
  <si>
    <t>E359</t>
  </si>
  <si>
    <t>Roads &amp; Trails</t>
  </si>
  <si>
    <t>TRANS - COLSTRIP 3 &amp; 4</t>
  </si>
  <si>
    <t>E352</t>
  </si>
  <si>
    <t>Structures &amp; Improvements</t>
  </si>
  <si>
    <t>TRANS - 3RD NW-SW INTERTIE</t>
  </si>
  <si>
    <t>TRANS - NORTHERN INTERTIE</t>
  </si>
  <si>
    <t>Total Transmission</t>
  </si>
  <si>
    <t>Accumulated Depreciation (AMA)</t>
  </si>
  <si>
    <t>Deferred Taxes (AMA)</t>
  </si>
  <si>
    <t xml:space="preserve">Transmission portion of: </t>
  </si>
  <si>
    <t>Colstrip Common FERC Adj, net of accum amort</t>
  </si>
  <si>
    <t>Colstrip Def Depr FERC Adj, net of accum amort</t>
  </si>
  <si>
    <t>Total Transmission Rate Base</t>
  </si>
  <si>
    <t>Exhibit A-3 Colstrip Fixed Costs</t>
  </si>
  <si>
    <t>Revenue Requirement for Colstrip</t>
  </si>
  <si>
    <t>Accumulated Depreciation</t>
  </si>
  <si>
    <t>Deferred Taxes - AMA 12/31/2010</t>
  </si>
  <si>
    <t xml:space="preserve">  Net Plant</t>
  </si>
  <si>
    <t>Rate of Return (net of Tax)</t>
  </si>
  <si>
    <t>Revenue Requirement after tax</t>
  </si>
  <si>
    <t>(Line 6 X Line 7)</t>
  </si>
  <si>
    <t>Plant Revenue Requirement</t>
  </si>
  <si>
    <t>(Adjusted for Federal Tax) (Line 8 / (1 - 35%))</t>
  </si>
  <si>
    <t>Expenses</t>
  </si>
  <si>
    <t>Total Revenue Requirement</t>
  </si>
  <si>
    <t>(before revenue sensitive items)</t>
  </si>
  <si>
    <t>Support for Revenue Requirement - Ratebase</t>
  </si>
  <si>
    <t>FERC</t>
  </si>
  <si>
    <t>DESCRIPTION</t>
  </si>
  <si>
    <t>2009 December
In Thousands</t>
  </si>
  <si>
    <t>2010 December
In Thousands</t>
  </si>
  <si>
    <t>13 MONTH AMA</t>
  </si>
  <si>
    <t>ANNUITY RATE</t>
  </si>
  <si>
    <t>ANNUALIZED DEPRECIATION</t>
  </si>
  <si>
    <t>AMA ACUMM. DEPR.</t>
  </si>
  <si>
    <t>COLSTRIP #1</t>
  </si>
  <si>
    <t>E311</t>
  </si>
  <si>
    <t>E312</t>
  </si>
  <si>
    <t>Boiler Plant Equipment</t>
  </si>
  <si>
    <t>E314</t>
  </si>
  <si>
    <t>Turbo Generating Units</t>
  </si>
  <si>
    <t>E315</t>
  </si>
  <si>
    <t>Accessory Electric Equipment</t>
  </si>
  <si>
    <t>E316</t>
  </si>
  <si>
    <t>Misc. Power Plant Equipment</t>
  </si>
  <si>
    <t xml:space="preserve">     TOTAL</t>
  </si>
  <si>
    <t>COLSTRIP #2</t>
  </si>
  <si>
    <t>COLSTRIP 1 &amp; 2 COMMON</t>
  </si>
  <si>
    <t>E317</t>
  </si>
  <si>
    <t>Asset Retirement Obligation</t>
  </si>
  <si>
    <t>COLSTRIP 3</t>
  </si>
  <si>
    <t>COLSTRIP 4</t>
  </si>
  <si>
    <t>COLSTRIP 3 &amp; 4 COMMON</t>
  </si>
  <si>
    <t>COLSTRIP 1-4 COMMON</t>
  </si>
  <si>
    <t>Misc. Power Plant Equip.</t>
  </si>
  <si>
    <t>Subtotal before Colstrip FERC Adjustments (Line 63 + 65)</t>
  </si>
  <si>
    <t xml:space="preserve"> ARO - Electric Colstrip 1-4 (Acct: 23001021 - 1031) Adj (AMA is Net of Accum. Amort.)</t>
  </si>
  <si>
    <t xml:space="preserve"> Colstrip Common FERC Adj. (AMA is Net of Accum. Amort.)</t>
  </si>
  <si>
    <t xml:space="preserve"> Colstrip Def Depr FERC Adj. (AMA is Net of Accum. Amort.)</t>
  </si>
  <si>
    <t>Totals</t>
  </si>
  <si>
    <t>ROW</t>
  </si>
  <si>
    <t>Support for Revenue Requirement - Expenses</t>
  </si>
  <si>
    <t>Amount before</t>
  </si>
  <si>
    <t>Order</t>
  </si>
  <si>
    <t>Description</t>
  </si>
  <si>
    <t>Prod. Adj.</t>
  </si>
  <si>
    <t>Colstrip 1&amp;2 - Supv &amp; Eng'g - Steam Ope</t>
  </si>
  <si>
    <t>Colstrip 3&amp;4 - Supv &amp; Eng'g - Steam Ope</t>
  </si>
  <si>
    <t>Colstrip 1&amp;2 - Steam Exp - Steam Gen Op</t>
  </si>
  <si>
    <t>Colstrip 3&amp;4 - Steam Exp - Steam Gen Op</t>
  </si>
  <si>
    <t>Colstrip 1&amp;2 - Electric Exp - Steam Gen</t>
  </si>
  <si>
    <t>Colstrip 3&amp;4 - Electric Exp - Steam Gen</t>
  </si>
  <si>
    <t>Colstrip 1&amp;2 - Misc Stm Pwr - Steam Gen</t>
  </si>
  <si>
    <t>Colstrip 3&amp;4 - Misc Stm Pwr - Steam Gen</t>
  </si>
  <si>
    <t>Colstrip 1&amp;2 - Rents - Steam Gen Oper</t>
  </si>
  <si>
    <t>Colstrip 3&amp;4 - Rents - Steam Gen Oper</t>
  </si>
  <si>
    <t>Colstrip 1&amp;2 - Supv &amp; Eng'g - Steam Gen</t>
  </si>
  <si>
    <t>Colstrip 3&amp;4 - Supv &amp; Eng'g - Steam Gen</t>
  </si>
  <si>
    <t>Colstrip 1&amp;2 - Structures - Steam Gen M</t>
  </si>
  <si>
    <t>Colstrip 3&amp;4 - Structures - Steam Gen M</t>
  </si>
  <si>
    <t>Colstrip 1&amp;2 - Boiler Plant - Steam Gen</t>
  </si>
  <si>
    <t>Colstrip 3&amp;4 - Boiler Plant - Steam Gen</t>
  </si>
  <si>
    <t>Colstrip 1&amp;2 - Electric Plant - Steam G</t>
  </si>
  <si>
    <t>Colstrip 3&amp;4 - Electric Plant - Steam G</t>
  </si>
  <si>
    <t>Colstrip 1&amp;2 -Misc Steam Plt -Steam Gen</t>
  </si>
  <si>
    <t>Colstrip 3&amp;4 -Misc Steam Plt -Steam Gen</t>
  </si>
  <si>
    <t>Colstrip 1&amp;2 Belmontez Settlement</t>
  </si>
  <si>
    <t>Colstrip 1&amp;2 Global Settlement</t>
  </si>
  <si>
    <t>Colstrip 1&amp;2 Ash Pond Settlement</t>
  </si>
  <si>
    <t>Colstrip 3&amp;4 Global Settemt</t>
  </si>
  <si>
    <t>Colstrip 3&amp;4 Ash Pond Settlement</t>
  </si>
  <si>
    <t>Subtotal for the test year</t>
  </si>
  <si>
    <t>Adjustment to the rate year</t>
  </si>
  <si>
    <t>Subtotal on Orders</t>
  </si>
  <si>
    <t>Property Taxes-Montana</t>
  </si>
  <si>
    <t>Electric Energy Tax</t>
  </si>
  <si>
    <t>403xxxxx</t>
  </si>
  <si>
    <t>PUGET SOUND ENERGY</t>
  </si>
  <si>
    <t>PRODUCTION ADJUSTMENT</t>
  </si>
  <si>
    <t>GENERAL RATE INCREASE</t>
  </si>
  <si>
    <t>LINE</t>
  </si>
  <si>
    <t>PROFORMA</t>
  </si>
  <si>
    <t>PRODUCTION</t>
  </si>
  <si>
    <t>FIT</t>
  </si>
  <si>
    <t>NO.</t>
  </si>
  <si>
    <t>AND RESTATED</t>
  </si>
  <si>
    <t>O&amp;M ON PRODUCTION PROPERTY</t>
  </si>
  <si>
    <t>PRODUCTION WAGE ADJUSTMENTS AND INCENTIVE:</t>
  </si>
  <si>
    <t>PURCHASED POWER</t>
  </si>
  <si>
    <t>OTHER POWER SUPPLY</t>
  </si>
  <si>
    <t>TOTAL WAGE RELATED ADJUSTMENTS</t>
  </si>
  <si>
    <t>ADMIN &amp; GENERAL EXPENSES</t>
  </si>
  <si>
    <t>PAYROLL OVERHEADS</t>
  </si>
  <si>
    <t>PROPERTY INSURANCE</t>
  </si>
  <si>
    <t>TOTAL ADMIN &amp; GENERAL EXPENSES</t>
  </si>
  <si>
    <t>DEPRECIATION / AMORTIZATION:</t>
  </si>
  <si>
    <t>DEPRECIATION</t>
  </si>
  <si>
    <t>AMORTIZATION (OTHER THAN REGULATORY ASSETS/LIAB)</t>
  </si>
  <si>
    <t>TOTAL DEPRECIATION AND AMORTIZATION (FERC 403)</t>
  </si>
  <si>
    <t>TAXES OTHER-PRODUCTION PROPERTY:</t>
  </si>
  <si>
    <t>PROPERTY TAXES - WASHINGTON</t>
  </si>
  <si>
    <t>PROPERTY TAXES - MONTANA</t>
  </si>
  <si>
    <t>ELECTRIC ENERGY TAX</t>
  </si>
  <si>
    <t>PAYROLL TAXES</t>
  </si>
  <si>
    <t>TOTAL TAXES OTHER</t>
  </si>
  <si>
    <t xml:space="preserve">LOWER SNAKE RIVER </t>
  </si>
  <si>
    <t>WHEELING</t>
  </si>
  <si>
    <t>SALES FOR RESALE</t>
  </si>
  <si>
    <t>PRODUCTION O&amp;M</t>
  </si>
  <si>
    <t>PROPERTY TAX</t>
  </si>
  <si>
    <t>TOTAL OPERATING EXPENSES LOWER SNAKE RIVER</t>
  </si>
  <si>
    <t>AMORTIZATION ON REGULATORY ASSETS:</t>
  </si>
  <si>
    <t>WESTCOAST PIPELINE CAPACITY - UE-082013 (FB ENERGY) (547)</t>
  </si>
  <si>
    <t>WESTCOAST PIPELINE CAPACITY - UE-100503 (BNP PARIBUS) (547)</t>
  </si>
  <si>
    <t>COLSTRIP 1&amp;2 (WECO) COAL CONTRACT PREPAYMENT (501)</t>
  </si>
  <si>
    <t>FERC PART 12 NON-CONSTRUCTION STUDY COSTS UE-070074 (407.3)</t>
  </si>
  <si>
    <t>MAJOR MAINTENANCE (SUMMARIZED) (PROD O&amp;M)</t>
  </si>
  <si>
    <t>CHELAN RESERVATION PREPAYMENT (555)</t>
  </si>
  <si>
    <t>TOTAL AMORTIZATION OF REGULATORY ASSETS AND LIABILITIES</t>
  </si>
  <si>
    <t>INCREASE(DECREASE) EXPENSE</t>
  </si>
  <si>
    <t xml:space="preserve">INCREASE(DECREASE) FIT </t>
  </si>
  <si>
    <t>INCREASE(DECREASE) NOI</t>
  </si>
  <si>
    <t>PRODUCTION PROPERTY RATE BASE:</t>
  </si>
  <si>
    <t>DEPRECIABLE PRODUCTION PROPERTY (INCL LSR AND WH SOLAR)</t>
  </si>
  <si>
    <t>PRODUCTION PROPERTY ACCUM DEPR. (INCL LSR AND WH SOLAR)</t>
  </si>
  <si>
    <t>NON-DEPRECIABLE PRODUCTION PROPERTY</t>
  </si>
  <si>
    <t>PRODUCTION PROPERTY ACCUM AMORT.</t>
  </si>
  <si>
    <t>COLSTRIP COMMON FERC ADJUSTMENT</t>
  </si>
  <si>
    <t>COLSTRIP DEFERRED DEPRECIATION FERC ADJ.</t>
  </si>
  <si>
    <t>ACQUISITION ADJUSTMENTS</t>
  </si>
  <si>
    <t>ACCUMULATED AMORTIZATION ON ACQUISTION ADJ</t>
  </si>
  <si>
    <t>NET PRODUCTION PROPERTY</t>
  </si>
  <si>
    <t>LIBR. DEPREC. POST 1980 (AMA)</t>
  </si>
  <si>
    <t>NOL DEFERRED TAX ASSET ATTRIBUTABLE TO PRODUCTION</t>
  </si>
  <si>
    <t>SUBTOTAL</t>
  </si>
  <si>
    <t>TOTAL PRODUCTION PROPERTY RATE BASE</t>
  </si>
  <si>
    <t>REGULATORY ASSETS RATE BASE:</t>
  </si>
  <si>
    <t>BEP</t>
  </si>
  <si>
    <t>WHITE RIVER PLANT COSTS</t>
  </si>
  <si>
    <t>PROCEEDS FROM THE SALE OF WHITE RIVER ASSETS TO CWA</t>
  </si>
  <si>
    <t>DFIT WHITE RIVER REG ASSETS</t>
  </si>
  <si>
    <t>WESTCOAST PIPELINE CAPACITY - UE-082013 (FB ENERGY)</t>
  </si>
  <si>
    <t>WESTCOAST PIPELINE CAPACITY - UE-100503 (BNP PARIBUS)</t>
  </si>
  <si>
    <t>MINT FARM DEFERRAL UE-090704</t>
  </si>
  <si>
    <t>COLSTRIP 1&amp;2 (WECO) COAL CONTRACT PREPAYMENT</t>
  </si>
  <si>
    <t>FERC PART 12 NON-CONSTRUCTION STUDY COSTS UE-070074</t>
  </si>
  <si>
    <t>LOWER SNAKE RIVER PREPAID TRANSMISSION DEPOSITS</t>
  </si>
  <si>
    <t>CARRYING CHARGES ON LSR PREPAID TRANSM DEPOSITS</t>
  </si>
  <si>
    <t>CHELAN RESERVATION PAYMENT</t>
  </si>
  <si>
    <t>CHELAN SECURITY DEPOSIT</t>
  </si>
  <si>
    <t>MAJOR MAINTENANCE (SUMMARIZED)</t>
  </si>
  <si>
    <t>TOTAL REGULATORY ASSETS AND LIABILITIES RATE BASE</t>
  </si>
  <si>
    <t>TOTAL ADJUSTMENT TO RATEBASE (LINE 73 + LINE 89)</t>
  </si>
  <si>
    <t>POWER COSTS</t>
  </si>
  <si>
    <t>INCREASE</t>
  </si>
  <si>
    <t>ACTUAL</t>
  </si>
  <si>
    <t>(DECREASE)</t>
  </si>
  <si>
    <t>PURCHASES/SALES OF NON-CORE GAS</t>
  </si>
  <si>
    <t>WHEELING FOR OTHERS</t>
  </si>
  <si>
    <t>TOTAL OPERATING REVENUES</t>
  </si>
  <si>
    <t>FUEL</t>
  </si>
  <si>
    <t>PURCHASED AND INTERCHANGED</t>
  </si>
  <si>
    <t>HEDGING</t>
  </si>
  <si>
    <t>SUBTOTAL PURCHASED AND INTERCHANGED</t>
  </si>
  <si>
    <t>TOTAL PRODUCTION EXPENSES</t>
  </si>
  <si>
    <t>HYDRO AND OTHER POWER</t>
  </si>
  <si>
    <t xml:space="preserve">TRANS. EXP. INCL. 500KV O&amp;M </t>
  </si>
  <si>
    <t>TOTAL OPERATING EXPENSES</t>
  </si>
  <si>
    <t>INCREASE (DECREASE) INCOME</t>
  </si>
  <si>
    <t>INCREASE (DECREASE) FIT @</t>
  </si>
  <si>
    <t>INCREASE (DECREASE) NOI</t>
  </si>
  <si>
    <t>FOR THE TWELVE MONTHS ENDED DECEMBER 31, 2010</t>
  </si>
  <si>
    <t>Exhibit D:  Regulatory Assets and Liabilities net of Accumulated Amortization and Deferred Taxes (PCA Periods)</t>
  </si>
  <si>
    <t>Rate</t>
  </si>
  <si>
    <t>2011 General Rate Case - PCA Time Periods</t>
  </si>
  <si>
    <t>2009 GRC</t>
  </si>
  <si>
    <t>2011 GRC</t>
  </si>
  <si>
    <t xml:space="preserve">12 Months Ended </t>
  </si>
  <si>
    <t>PCA Period</t>
  </si>
  <si>
    <t>Balance</t>
  </si>
  <si>
    <t>net of</t>
  </si>
  <si>
    <t>Return</t>
  </si>
  <si>
    <t>Ref</t>
  </si>
  <si>
    <t>Interest</t>
  </si>
  <si>
    <t>Asset Amort</t>
  </si>
  <si>
    <t>AA &amp; ADFIT</t>
  </si>
  <si>
    <t>A.T. %</t>
  </si>
  <si>
    <t>Amount</t>
  </si>
  <si>
    <t>Pre Tax</t>
  </si>
  <si>
    <t>Monthly</t>
  </si>
  <si>
    <t>(Note 1)</t>
  </si>
  <si>
    <t>Cabot Buyout</t>
  </si>
  <si>
    <t>G/L Accts #18230171, #19000121, and #28300461 and Order #54756012</t>
  </si>
  <si>
    <t>Beginning</t>
  </si>
  <si>
    <t>$</t>
  </si>
  <si>
    <t>Dec 2000</t>
  </si>
  <si>
    <t>Dec 2001</t>
  </si>
  <si>
    <t>Dec 2002</t>
  </si>
  <si>
    <t>Dec 2003</t>
  </si>
  <si>
    <t>Dec 2004</t>
  </si>
  <si>
    <t>Dec 2005</t>
  </si>
  <si>
    <t>7.3%&amp;7.01%</t>
  </si>
  <si>
    <t>Dec 2006</t>
  </si>
  <si>
    <t>Dec 2007</t>
  </si>
  <si>
    <t>7.01%&amp;7.06%</t>
  </si>
  <si>
    <t>Dec 2008</t>
  </si>
  <si>
    <t>7.06%&amp;7.00%</t>
  </si>
  <si>
    <t>Dec 2009</t>
  </si>
  <si>
    <t>Tenaska</t>
  </si>
  <si>
    <t>G/L Accts #18230001 and #28300451 and Order #55500423</t>
  </si>
  <si>
    <t>Dec 1998</t>
  </si>
  <si>
    <t>Dec 1999</t>
  </si>
  <si>
    <t>Dec 2010</t>
  </si>
  <si>
    <t>7.00%&amp;6.90%</t>
  </si>
  <si>
    <t>Dec 2011</t>
  </si>
  <si>
    <t>G/L Accts #18230071, #18230081, and #28300431 and Order #55500007</t>
  </si>
  <si>
    <t>Dec 2012</t>
  </si>
  <si>
    <t>6.90%&amp;7.29%</t>
  </si>
  <si>
    <t>Dec 2013</t>
  </si>
  <si>
    <t>Dec 2014</t>
  </si>
  <si>
    <t>Dec 2015</t>
  </si>
  <si>
    <t>Dec 2016</t>
  </si>
  <si>
    <t>Dec 2017</t>
  </si>
  <si>
    <t>White River Relicensing</t>
  </si>
  <si>
    <t>G/L Accts #18230641, 691, #18236021, 31, 41, 51, 61, 71, 91, 6101,  #18230971, #19000021 and #28300011</t>
  </si>
  <si>
    <t>White River Plant Costs</t>
  </si>
  <si>
    <t>G/L Accts #18220011, #21, #31, #41 and #51 and Order #40700015, portion of #28200121</t>
  </si>
  <si>
    <t>CWA Sales Proceeds</t>
  </si>
  <si>
    <t>G/L Accts #18220061</t>
  </si>
  <si>
    <t>White River DFIT</t>
  </si>
  <si>
    <t>G/L Accts #28300651</t>
  </si>
  <si>
    <t>Hopkins Ridge Prepaid Transm</t>
  </si>
  <si>
    <t>G/L Accts #18230231, #18230371, Orders #56500011 and #56500021</t>
  </si>
  <si>
    <t>Goldendale Fixed Cost Deferral</t>
  </si>
  <si>
    <t>G/L Accts #18230381, 391, #28300541 and #28300551 and Order #40730041</t>
  </si>
  <si>
    <t>Hopkins Ridge Mitigation Credit</t>
  </si>
  <si>
    <t>G/L Accts #25400171 and #19000561 and Order #55500017</t>
  </si>
  <si>
    <t>FB Energy Capacity Payment - UE-082013</t>
  </si>
  <si>
    <t>G/L Accts #25300601 and #19000151 and Order #54700005</t>
  </si>
  <si>
    <t>Dec 2018</t>
  </si>
  <si>
    <t>Dec 2019</t>
  </si>
  <si>
    <t>Mint Farm Deferral</t>
  </si>
  <si>
    <t>G/L Accts #18600351, 361, 371, #18235521 and Orders #40740061,# 40730051, #41900026, 28 and #55500136</t>
  </si>
  <si>
    <t>not in rates</t>
  </si>
  <si>
    <t>WHE Deferral</t>
  </si>
  <si>
    <t>G/L Accts #18600611&amp;621&amp;631, and 18235531 Orders #40740071, #40730061 #41900037&amp;39, #55500093&amp;139</t>
  </si>
  <si>
    <t>BNP Capacity - UE-100503</t>
  </si>
  <si>
    <t>G/L Accts # 19000711, # 25302121, #25400191 and Order #54700010</t>
  </si>
  <si>
    <t>FREDDY 1 JULY 2009 HOT GAS PATH INSPECTION</t>
  </si>
  <si>
    <t>PP Exp-Planned Maj. Maint.</t>
  </si>
  <si>
    <t>G/L Accts # 18600831, #18231001 Orders #51218007, #51318019, #55360053, #55460076</t>
  </si>
  <si>
    <t>GOLENDALE MAY 2009 COMBUSTION INSPECTION</t>
  </si>
  <si>
    <t>G/L Accts # 18600841, #18231011 Order #55362083 &amp;553002864</t>
  </si>
  <si>
    <t>SUMAS NOVEMBER 2008 COMBUSTION INSPECTION</t>
  </si>
  <si>
    <t>G/L Accts # 18600541, 18231021 Order #55300948, #55363078, #553002862</t>
  </si>
  <si>
    <t>(Note 6)</t>
  </si>
  <si>
    <t>MINT FARM JUNE 2010 COMBUSTION INSPECTION</t>
  </si>
  <si>
    <t>G/L Accts # 18231031, 16500741, Order #5XX (Prod O&amp;M)</t>
  </si>
  <si>
    <t>Chelan PUD Contract Initiation</t>
  </si>
  <si>
    <t>G/L Accts # 18230351, #28300561, Order #555</t>
  </si>
  <si>
    <t>Payment</t>
  </si>
  <si>
    <t>Chelan - Rock Island Security Deposit</t>
  </si>
  <si>
    <t>SUMAS NOVEMBER 2010 HOT GAS PATH INSPECTION</t>
  </si>
  <si>
    <t>G/L Accts # 18231041, #16500711, #23200301</t>
  </si>
  <si>
    <t>Colstrip 1 and 2 (WECo)</t>
  </si>
  <si>
    <t>G/L Accts # 16599011, Order #501</t>
  </si>
  <si>
    <t xml:space="preserve">Reservation Payment </t>
  </si>
  <si>
    <t>Lower Snake River Prepaid Transm Principal</t>
  </si>
  <si>
    <t>Carrying Charges on LSR Prepaid Transm</t>
  </si>
  <si>
    <t>FERC PART 12 Non-Construction Study Costs</t>
  </si>
  <si>
    <t>Period</t>
  </si>
  <si>
    <t>From</t>
  </si>
  <si>
    <t>To</t>
  </si>
  <si>
    <t>(Annualized)</t>
  </si>
  <si>
    <t>PCA #3</t>
  </si>
  <si>
    <t>PCA #4</t>
  </si>
  <si>
    <t>PCA #5</t>
  </si>
  <si>
    <t>PCA #6</t>
  </si>
  <si>
    <t>PCA #7</t>
  </si>
  <si>
    <t>PCA #8</t>
  </si>
  <si>
    <t>PCA #9</t>
  </si>
  <si>
    <t>PCA #10</t>
  </si>
  <si>
    <t>PCA #11</t>
  </si>
  <si>
    <t>PCA #12</t>
  </si>
  <si>
    <r>
      <t xml:space="preserve">AMA Ratebase </t>
    </r>
    <r>
      <rPr>
        <b/>
        <sz val="6"/>
        <rFont val="Arial"/>
        <family val="2"/>
      </rPr>
      <t>as of</t>
    </r>
  </si>
  <si>
    <r>
      <t>Note (1)</t>
    </r>
    <r>
      <rPr>
        <sz val="10"/>
        <rFont val="Arial"/>
        <family val="2"/>
      </rPr>
      <t xml:space="preserve">  </t>
    </r>
    <r>
      <rPr>
        <sz val="10"/>
        <rFont val="Arial"/>
        <family val="2"/>
      </rPr>
      <t>Amounts in these columns are net of accumulated amortization AND the associated Deferred FIT liability / asset.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</si>
</sst>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%"/>
    <numFmt numFmtId="166" formatCode="0.000%"/>
    <numFmt numFmtId="167" formatCode="0.00000"/>
    <numFmt numFmtId="168" formatCode="0.0000000"/>
    <numFmt numFmtId="169" formatCode="#,##0;\(#,##0\)"/>
    <numFmt numFmtId="170" formatCode="_(* #,##0_);_(* \(#,##0\);_(* &quot;-&quot;??_);_(@_)"/>
    <numFmt numFmtId="171" formatCode="_(&quot;$&quot;* #,##0_);_(&quot;$&quot;* \(#,##0\);_(&quot;$&quot;* &quot;-&quot;??_);_(@_)"/>
    <numFmt numFmtId="172" formatCode="_(* #,##0.0000_);_(* \(#,##0.0000\);_(* &quot;-&quot;_);_(@_)"/>
    <numFmt numFmtId="173" formatCode="_(* #,##0.000000_);_(* \(#,##0.000000\);_(* &quot;-&quot;_);_(@_)"/>
    <numFmt numFmtId="174" formatCode="_(* #,##0.000_);_(* \(#,##0.000\);_(* &quot;-&quot;??_);_(@_)"/>
    <numFmt numFmtId="175" formatCode="_(* #,##0.00000_);_(* \(#,##0.00000\);_(* &quot;-&quot;??_);_(@_)"/>
    <numFmt numFmtId="176" formatCode="_(* #,##0.0000000_);_(* \(#,##0.0000000\);_(* &quot;-&quot;??_);_(@_)"/>
    <numFmt numFmtId="177" formatCode="_(&quot;$&quot;* #,##0.000_);_(&quot;$&quot;* \(#,##0.000\);_(&quot;$&quot;* &quot;-&quot;??_);_(@_)"/>
    <numFmt numFmtId="178" formatCode="_(&quot;$&quot;* #,##0.000000_);_(&quot;$&quot;* \(#,##0.000000\);_(&quot;$&quot;* &quot;-&quot;??????_);_(@_)"/>
    <numFmt numFmtId="179" formatCode="0.000000"/>
    <numFmt numFmtId="180" formatCode="_(* #,##0.0_);_(* \(#,##0.0\);_(* &quot;-&quot;_);_(@_)"/>
    <numFmt numFmtId="181" formatCode="_(* ###0_);_(* \(###0\);_(* &quot;-&quot;_);_(@_)"/>
    <numFmt numFmtId="182" formatCode="0.00000%"/>
    <numFmt numFmtId="183" formatCode="d\.mmm\.yy"/>
    <numFmt numFmtId="184" formatCode="#."/>
    <numFmt numFmtId="185" formatCode="_(&quot;$&quot;* #,##0.0000_);_(&quot;$&quot;* \(#,##0.0000\);_(&quot;$&quot;* &quot;-&quot;????_);_(@_)"/>
    <numFmt numFmtId="186" formatCode="&quot;$&quot;#,##0.00"/>
    <numFmt numFmtId="187" formatCode="&quot;$&quot;#,##0;\-&quot;$&quot;#,##0"/>
    <numFmt numFmtId="188" formatCode="_([$€-2]* #,##0.00_);_([$€-2]* \(#,##0.00\);_([$€-2]* &quot;-&quot;??_)"/>
    <numFmt numFmtId="189" formatCode="#,##0.000"/>
    <numFmt numFmtId="190" formatCode="0000000"/>
    <numFmt numFmtId="191" formatCode="[$-409]d\-mmm\-yy;@"/>
    <numFmt numFmtId="192" formatCode="_(* #,##0.0_);_(* \(#,##0.0\);_(* &quot;-&quot;??_);_(@_)"/>
    <numFmt numFmtId="193" formatCode="m/yy"/>
    <numFmt numFmtId="194" formatCode="mmm\ yyyy"/>
    <numFmt numFmtId="195" formatCode="[$-409]mmm\-yy;@"/>
  </numFmts>
  <fonts count="78">
    <font>
      <sz val="8"/>
      <name val="Helv"/>
      <family val="0"/>
    </font>
    <font>
      <sz val="8"/>
      <name val="Roman 17cpi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univers (E1)"/>
      <family val="0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4"/>
      <name val="MS Sans Serif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Geneva"/>
      <family val="0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14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sz val="6"/>
      <name val="Arial"/>
      <family val="2"/>
    </font>
    <font>
      <sz val="8"/>
      <name val="Times New Roman"/>
      <family val="1"/>
    </font>
    <font>
      <b/>
      <sz val="8"/>
      <color indexed="8"/>
      <name val="Arial"/>
      <family val="2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"/>
      <family val="2"/>
    </font>
    <font>
      <b/>
      <sz val="6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8"/>
      <name val="Helv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</borders>
  <cellStyleXfs count="1444">
    <xf numFmtId="179" fontId="0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0" fontId="4" fillId="0" borderId="0">
      <alignment/>
      <protection/>
    </xf>
    <xf numFmtId="179" fontId="4" fillId="0" borderId="0">
      <alignment horizontal="left" wrapText="1"/>
      <protection/>
    </xf>
    <xf numFmtId="168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75" fontId="4" fillId="0" borderId="0">
      <alignment horizontal="left" wrapText="1"/>
      <protection/>
    </xf>
    <xf numFmtId="0" fontId="4" fillId="0" borderId="0">
      <alignment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0" fontId="4" fillId="0" borderId="0">
      <alignment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0" fontId="5" fillId="0" borderId="0">
      <alignment/>
      <protection/>
    </xf>
    <xf numFmtId="0" fontId="5" fillId="0" borderId="0">
      <alignment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0" fontId="5" fillId="0" borderId="0">
      <alignment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0" fontId="5" fillId="0" borderId="0">
      <alignment/>
      <protection/>
    </xf>
    <xf numFmtId="0" fontId="5" fillId="0" borderId="0">
      <alignment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5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0" fontId="5" fillId="0" borderId="0">
      <alignment/>
      <protection/>
    </xf>
    <xf numFmtId="0" fontId="5" fillId="0" borderId="0">
      <alignment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0" fontId="4" fillId="0" borderId="0">
      <alignment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0" fontId="5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1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7" fillId="30" borderId="0" applyNumberFormat="0" applyBorder="0" applyAlignment="0" applyProtection="0"/>
    <xf numFmtId="0" fontId="7" fillId="2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83" fontId="9" fillId="0" borderId="0" applyFill="0" applyBorder="0" applyAlignment="0">
      <protection/>
    </xf>
    <xf numFmtId="41" fontId="4" fillId="31" borderId="0">
      <alignment/>
      <protection/>
    </xf>
    <xf numFmtId="0" fontId="10" fillId="32" borderId="1" applyNumberFormat="0" applyAlignment="0" applyProtection="0"/>
    <xf numFmtId="0" fontId="10" fillId="32" borderId="1" applyNumberFormat="0" applyAlignment="0" applyProtection="0"/>
    <xf numFmtId="0" fontId="10" fillId="32" borderId="1" applyNumberFormat="0" applyAlignment="0" applyProtection="0"/>
    <xf numFmtId="0" fontId="11" fillId="33" borderId="2" applyNumberFormat="0" applyAlignment="0" applyProtection="0"/>
    <xf numFmtId="0" fontId="11" fillId="33" borderId="2" applyNumberFormat="0" applyAlignment="0" applyProtection="0"/>
    <xf numFmtId="41" fontId="4" fillId="32" borderId="0">
      <alignment/>
      <protection/>
    </xf>
    <xf numFmtId="4" fontId="12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184" fontId="17" fillId="0" borderId="0">
      <alignment/>
      <protection locked="0"/>
    </xf>
    <xf numFmtId="0" fontId="15" fillId="0" borderId="0">
      <alignment/>
      <protection/>
    </xf>
    <xf numFmtId="0" fontId="18" fillId="0" borderId="0" applyNumberFormat="0" applyAlignment="0">
      <protection/>
    </xf>
    <xf numFmtId="0" fontId="19" fillId="0" borderId="0" applyNumberFormat="0" applyAlignment="0"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8" fontId="12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179" fontId="4" fillId="0" borderId="0">
      <alignment/>
      <protection/>
    </xf>
    <xf numFmtId="179" fontId="4" fillId="0" borderId="0">
      <alignment/>
      <protection/>
    </xf>
    <xf numFmtId="179" fontId="4" fillId="0" borderId="0">
      <alignment/>
      <protection/>
    </xf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14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38" fontId="24" fillId="32" borderId="0" applyNumberFormat="0" applyBorder="0" applyAlignment="0" applyProtection="0"/>
    <xf numFmtId="38" fontId="24" fillId="32" borderId="0" applyNumberFormat="0" applyBorder="0" applyAlignment="0" applyProtection="0"/>
    <xf numFmtId="38" fontId="24" fillId="32" borderId="0" applyNumberFormat="0" applyBorder="0" applyAlignment="0" applyProtection="0"/>
    <xf numFmtId="38" fontId="24" fillId="32" borderId="0" applyNumberFormat="0" applyBorder="0" applyAlignment="0" applyProtection="0"/>
    <xf numFmtId="38" fontId="24" fillId="32" borderId="0" applyNumberFormat="0" applyBorder="0" applyAlignment="0" applyProtection="0"/>
    <xf numFmtId="0" fontId="25" fillId="0" borderId="3" applyNumberFormat="0" applyAlignment="0" applyProtection="0"/>
    <xf numFmtId="0" fontId="25" fillId="0" borderId="4">
      <alignment horizontal="left"/>
      <protection/>
    </xf>
    <xf numFmtId="0" fontId="13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8" fontId="29" fillId="0" borderId="0">
      <alignment/>
      <protection/>
    </xf>
    <xf numFmtId="40" fontId="29" fillId="0" borderId="0">
      <alignment/>
      <protection/>
    </xf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10" fontId="24" fillId="31" borderId="8" applyNumberFormat="0" applyBorder="0" applyAlignment="0" applyProtection="0"/>
    <xf numFmtId="10" fontId="24" fillId="31" borderId="8" applyNumberFormat="0" applyBorder="0" applyAlignment="0" applyProtection="0"/>
    <xf numFmtId="10" fontId="24" fillId="31" borderId="8" applyNumberFormat="0" applyBorder="0" applyAlignment="0" applyProtection="0"/>
    <xf numFmtId="10" fontId="24" fillId="31" borderId="8" applyNumberFormat="0" applyBorder="0" applyAlignment="0" applyProtection="0"/>
    <xf numFmtId="10" fontId="24" fillId="31" borderId="8" applyNumberFormat="0" applyBorder="0" applyAlignment="0" applyProtection="0"/>
    <xf numFmtId="0" fontId="31" fillId="7" borderId="1" applyNumberFormat="0" applyAlignment="0" applyProtection="0"/>
    <xf numFmtId="41" fontId="32" fillId="37" borderId="9">
      <alignment horizontal="left"/>
      <protection locked="0"/>
    </xf>
    <xf numFmtId="10" fontId="32" fillId="37" borderId="9">
      <alignment horizontal="right"/>
      <protection locked="0"/>
    </xf>
    <xf numFmtId="41" fontId="32" fillId="37" borderId="9">
      <alignment horizontal="left"/>
      <protection locked="0"/>
    </xf>
    <xf numFmtId="0" fontId="24" fillId="32" borderId="0">
      <alignment/>
      <protection/>
    </xf>
    <xf numFmtId="0" fontId="24" fillId="32" borderId="0">
      <alignment/>
      <protection/>
    </xf>
    <xf numFmtId="3" fontId="33" fillId="0" borderId="0" applyFill="0" applyBorder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44" fontId="35" fillId="0" borderId="11" applyNumberFormat="0" applyFont="0" applyAlignment="0">
      <protection/>
    </xf>
    <xf numFmtId="44" fontId="35" fillId="0" borderId="11" applyNumberFormat="0" applyFont="0" applyAlignment="0">
      <protection/>
    </xf>
    <xf numFmtId="44" fontId="35" fillId="0" borderId="11" applyNumberFormat="0" applyFont="0" applyAlignment="0">
      <protection/>
    </xf>
    <xf numFmtId="44" fontId="35" fillId="0" borderId="11" applyNumberFormat="0" applyFont="0" applyAlignment="0">
      <protection/>
    </xf>
    <xf numFmtId="44" fontId="35" fillId="0" borderId="11" applyNumberFormat="0" applyFont="0" applyAlignment="0">
      <protection/>
    </xf>
    <xf numFmtId="44" fontId="35" fillId="0" borderId="12" applyNumberFormat="0" applyFont="0" applyAlignment="0">
      <protection/>
    </xf>
    <xf numFmtId="44" fontId="35" fillId="0" borderId="12" applyNumberFormat="0" applyFont="0" applyAlignment="0">
      <protection/>
    </xf>
    <xf numFmtId="44" fontId="35" fillId="0" borderId="12" applyNumberFormat="0" applyFont="0" applyAlignment="0">
      <protection/>
    </xf>
    <xf numFmtId="44" fontId="35" fillId="0" borderId="12" applyNumberFormat="0" applyFont="0" applyAlignment="0">
      <protection/>
    </xf>
    <xf numFmtId="44" fontId="35" fillId="0" borderId="12" applyNumberFormat="0" applyFont="0" applyAlignment="0">
      <protection/>
    </xf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37" fontId="37" fillId="0" borderId="0">
      <alignment/>
      <protection/>
    </xf>
    <xf numFmtId="178" fontId="0" fillId="0" borderId="0">
      <alignment/>
      <protection/>
    </xf>
    <xf numFmtId="187" fontId="4" fillId="0" borderId="0">
      <alignment/>
      <protection/>
    </xf>
    <xf numFmtId="187" fontId="4" fillId="0" borderId="0">
      <alignment/>
      <protection/>
    </xf>
    <xf numFmtId="187" fontId="4" fillId="0" borderId="0">
      <alignment/>
      <protection/>
    </xf>
    <xf numFmtId="0" fontId="4" fillId="0" borderId="0">
      <alignment/>
      <protection/>
    </xf>
    <xf numFmtId="19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1" fontId="4" fillId="0" borderId="0">
      <alignment horizontal="left" wrapText="1"/>
      <protection/>
    </xf>
    <xf numFmtId="179" fontId="4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9" fontId="4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164" fontId="4" fillId="0" borderId="0">
      <alignment horizontal="left" wrapText="1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7" fontId="4" fillId="0" borderId="0">
      <alignment horizontal="left" wrapText="1"/>
      <protection/>
    </xf>
    <xf numFmtId="171" fontId="4" fillId="0" borderId="0">
      <alignment horizontal="left" wrapText="1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9" fontId="4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8" borderId="13" applyNumberFormat="0" applyFont="0" applyAlignment="0" applyProtection="0"/>
    <xf numFmtId="0" fontId="6" fillId="38" borderId="13" applyNumberFormat="0" applyFont="0" applyAlignment="0" applyProtection="0"/>
    <xf numFmtId="0" fontId="6" fillId="38" borderId="13" applyNumberFormat="0" applyFont="0" applyAlignment="0" applyProtection="0"/>
    <xf numFmtId="0" fontId="6" fillId="38" borderId="13" applyNumberFormat="0" applyFont="0" applyAlignment="0" applyProtection="0"/>
    <xf numFmtId="0" fontId="6" fillId="38" borderId="13" applyNumberFormat="0" applyFont="0" applyAlignment="0" applyProtection="0"/>
    <xf numFmtId="0" fontId="6" fillId="38" borderId="13" applyNumberFormat="0" applyFont="0" applyAlignment="0" applyProtection="0"/>
    <xf numFmtId="0" fontId="6" fillId="38" borderId="13" applyNumberFormat="0" applyFont="0" applyAlignment="0" applyProtection="0"/>
    <xf numFmtId="0" fontId="6" fillId="38" borderId="13" applyNumberFormat="0" applyFont="0" applyAlignment="0" applyProtection="0"/>
    <xf numFmtId="0" fontId="6" fillId="38" borderId="13" applyNumberFormat="0" applyFont="0" applyAlignment="0" applyProtection="0"/>
    <xf numFmtId="0" fontId="6" fillId="38" borderId="13" applyNumberFormat="0" applyFont="0" applyAlignment="0" applyProtection="0"/>
    <xf numFmtId="0" fontId="6" fillId="38" borderId="13" applyNumberFormat="0" applyFont="0" applyAlignment="0" applyProtection="0"/>
    <xf numFmtId="0" fontId="6" fillId="38" borderId="13" applyNumberFormat="0" applyFont="0" applyAlignment="0" applyProtection="0"/>
    <xf numFmtId="0" fontId="6" fillId="38" borderId="13" applyNumberFormat="0" applyFont="0" applyAlignment="0" applyProtection="0"/>
    <xf numFmtId="0" fontId="40" fillId="32" borderId="14" applyNumberFormat="0" applyAlignment="0" applyProtection="0"/>
    <xf numFmtId="0" fontId="40" fillId="32" borderId="1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9" fontId="12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4" fillId="39" borderId="9">
      <alignment/>
      <protection/>
    </xf>
    <xf numFmtId="0" fontId="39" fillId="0" borderId="0" applyNumberFormat="0" applyFont="0" applyFill="0" applyBorder="0" applyAlignment="0" applyProtection="0"/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41" fillId="0" borderId="15">
      <alignment horizontal="center"/>
      <protection/>
    </xf>
    <xf numFmtId="3" fontId="39" fillId="0" borderId="0" applyFont="0" applyFill="0" applyBorder="0" applyAlignment="0" applyProtection="0"/>
    <xf numFmtId="0" fontId="39" fillId="40" borderId="0" applyNumberFormat="0" applyFont="0" applyBorder="0" applyAlignment="0" applyProtection="0"/>
    <xf numFmtId="0" fontId="15" fillId="0" borderId="0">
      <alignment/>
      <protection/>
    </xf>
    <xf numFmtId="3" fontId="42" fillId="0" borderId="0" applyFill="0" applyBorder="0" applyAlignment="0" applyProtection="0"/>
    <xf numFmtId="0" fontId="43" fillId="0" borderId="0">
      <alignment/>
      <protection/>
    </xf>
    <xf numFmtId="3" fontId="42" fillId="0" borderId="0" applyFill="0" applyBorder="0" applyAlignment="0" applyProtection="0"/>
    <xf numFmtId="42" fontId="4" fillId="31" borderId="0">
      <alignment/>
      <protection/>
    </xf>
    <xf numFmtId="42" fontId="4" fillId="31" borderId="16">
      <alignment vertical="center"/>
      <protection/>
    </xf>
    <xf numFmtId="0" fontId="35" fillId="31" borderId="17" applyNumberFormat="0">
      <alignment horizontal="center" vertical="center" wrapText="1"/>
      <protection/>
    </xf>
    <xf numFmtId="0" fontId="35" fillId="31" borderId="17" applyNumberFormat="0">
      <alignment horizontal="center" vertical="center" wrapText="1"/>
      <protection/>
    </xf>
    <xf numFmtId="10" fontId="4" fillId="31" borderId="0">
      <alignment/>
      <protection/>
    </xf>
    <xf numFmtId="10" fontId="4" fillId="31" borderId="0">
      <alignment/>
      <protection/>
    </xf>
    <xf numFmtId="185" fontId="4" fillId="31" borderId="0">
      <alignment/>
      <protection/>
    </xf>
    <xf numFmtId="185" fontId="4" fillId="31" borderId="0">
      <alignment/>
      <protection/>
    </xf>
    <xf numFmtId="42" fontId="4" fillId="31" borderId="0">
      <alignment/>
      <protection/>
    </xf>
    <xf numFmtId="170" fontId="29" fillId="0" borderId="0" applyBorder="0" applyAlignment="0">
      <protection/>
    </xf>
    <xf numFmtId="42" fontId="4" fillId="31" borderId="18">
      <alignment horizontal="left"/>
      <protection/>
    </xf>
    <xf numFmtId="185" fontId="44" fillId="31" borderId="18">
      <alignment horizontal="left"/>
      <protection/>
    </xf>
    <xf numFmtId="170" fontId="29" fillId="0" borderId="0" applyBorder="0" applyAlignment="0">
      <protection/>
    </xf>
    <xf numFmtId="14" fontId="0" fillId="0" borderId="0" applyNumberFormat="0" applyFill="0" applyBorder="0" applyAlignment="0" applyProtection="0"/>
    <xf numFmtId="180" fontId="4" fillId="0" borderId="0" applyFont="0" applyFill="0" applyAlignment="0">
      <protection/>
    </xf>
    <xf numFmtId="180" fontId="4" fillId="0" borderId="0" applyFont="0" applyFill="0" applyAlignment="0">
      <protection/>
    </xf>
    <xf numFmtId="4" fontId="45" fillId="37" borderId="14" applyNumberFormat="0" applyProtection="0">
      <alignment vertical="center"/>
    </xf>
    <xf numFmtId="4" fontId="46" fillId="37" borderId="14" applyNumberFormat="0" applyProtection="0">
      <alignment vertical="center"/>
    </xf>
    <xf numFmtId="4" fontId="45" fillId="37" borderId="14" applyNumberFormat="0" applyProtection="0">
      <alignment horizontal="left" vertical="center" indent="1"/>
    </xf>
    <xf numFmtId="4" fontId="45" fillId="37" borderId="14" applyNumberFormat="0" applyProtection="0">
      <alignment horizontal="left" vertical="center" indent="1"/>
    </xf>
    <xf numFmtId="0" fontId="4" fillId="2" borderId="14" applyNumberFormat="0" applyProtection="0">
      <alignment horizontal="left" vertical="center" indent="1"/>
    </xf>
    <xf numFmtId="4" fontId="45" fillId="3" borderId="14" applyNumberFormat="0" applyProtection="0">
      <alignment horizontal="right" vertical="center"/>
    </xf>
    <xf numFmtId="4" fontId="45" fillId="9" borderId="14" applyNumberFormat="0" applyProtection="0">
      <alignment horizontal="right" vertical="center"/>
    </xf>
    <xf numFmtId="4" fontId="45" fillId="20" borderId="14" applyNumberFormat="0" applyProtection="0">
      <alignment horizontal="right" vertical="center"/>
    </xf>
    <xf numFmtId="4" fontId="45" fillId="11" borderId="14" applyNumberFormat="0" applyProtection="0">
      <alignment horizontal="right" vertical="center"/>
    </xf>
    <xf numFmtId="4" fontId="45" fillId="15" borderId="14" applyNumberFormat="0" applyProtection="0">
      <alignment horizontal="right" vertical="center"/>
    </xf>
    <xf numFmtId="4" fontId="45" fillId="28" borderId="14" applyNumberFormat="0" applyProtection="0">
      <alignment horizontal="right" vertical="center"/>
    </xf>
    <xf numFmtId="4" fontId="45" fillId="24" borderId="14" applyNumberFormat="0" applyProtection="0">
      <alignment horizontal="right" vertical="center"/>
    </xf>
    <xf numFmtId="4" fontId="45" fillId="41" borderId="14" applyNumberFormat="0" applyProtection="0">
      <alignment horizontal="right" vertical="center"/>
    </xf>
    <xf numFmtId="4" fontId="45" fillId="10" borderId="14" applyNumberFormat="0" applyProtection="0">
      <alignment horizontal="right" vertical="center"/>
    </xf>
    <xf numFmtId="4" fontId="47" fillId="42" borderId="14" applyNumberFormat="0" applyProtection="0">
      <alignment horizontal="left" vertical="center" indent="1"/>
    </xf>
    <xf numFmtId="4" fontId="45" fillId="43" borderId="19" applyNumberFormat="0" applyProtection="0">
      <alignment horizontal="left" vertical="center" indent="1"/>
    </xf>
    <xf numFmtId="4" fontId="48" fillId="44" borderId="0" applyNumberFormat="0" applyProtection="0">
      <alignment horizontal="left" vertical="center" indent="1"/>
    </xf>
    <xf numFmtId="0" fontId="4" fillId="2" borderId="14" applyNumberFormat="0" applyProtection="0">
      <alignment horizontal="left" vertical="center" indent="1"/>
    </xf>
    <xf numFmtId="4" fontId="45" fillId="43" borderId="14" applyNumberFormat="0" applyProtection="0">
      <alignment horizontal="left" vertical="center" indent="1"/>
    </xf>
    <xf numFmtId="4" fontId="45" fillId="45" borderId="14" applyNumberFormat="0" applyProtection="0">
      <alignment horizontal="left" vertical="center" indent="1"/>
    </xf>
    <xf numFmtId="0" fontId="4" fillId="45" borderId="14" applyNumberFormat="0" applyProtection="0">
      <alignment horizontal="left" vertical="center" indent="1"/>
    </xf>
    <xf numFmtId="0" fontId="4" fillId="45" borderId="14" applyNumberFormat="0" applyProtection="0">
      <alignment horizontal="left" vertical="center" indent="1"/>
    </xf>
    <xf numFmtId="0" fontId="4" fillId="33" borderId="14" applyNumberFormat="0" applyProtection="0">
      <alignment horizontal="left" vertical="center" indent="1"/>
    </xf>
    <xf numFmtId="0" fontId="4" fillId="33" borderId="14" applyNumberFormat="0" applyProtection="0">
      <alignment horizontal="left" vertical="center" indent="1"/>
    </xf>
    <xf numFmtId="0" fontId="4" fillId="32" borderId="14" applyNumberFormat="0" applyProtection="0">
      <alignment horizontal="left" vertical="center" indent="1"/>
    </xf>
    <xf numFmtId="0" fontId="4" fillId="32" borderId="14" applyNumberFormat="0" applyProtection="0">
      <alignment horizontal="left" vertical="center" indent="1"/>
    </xf>
    <xf numFmtId="0" fontId="4" fillId="2" borderId="14" applyNumberFormat="0" applyProtection="0">
      <alignment horizontal="left" vertical="center" indent="1"/>
    </xf>
    <xf numFmtId="0" fontId="4" fillId="2" borderId="14" applyNumberFormat="0" applyProtection="0">
      <alignment horizontal="left" vertical="center" indent="1"/>
    </xf>
    <xf numFmtId="0" fontId="4" fillId="31" borderId="8" applyNumberFormat="0">
      <alignment/>
      <protection locked="0"/>
    </xf>
    <xf numFmtId="4" fontId="45" fillId="38" borderId="14" applyNumberFormat="0" applyProtection="0">
      <alignment vertical="center"/>
    </xf>
    <xf numFmtId="4" fontId="46" fillId="38" borderId="14" applyNumberFormat="0" applyProtection="0">
      <alignment vertical="center"/>
    </xf>
    <xf numFmtId="4" fontId="45" fillId="38" borderId="14" applyNumberFormat="0" applyProtection="0">
      <alignment horizontal="left" vertical="center" indent="1"/>
    </xf>
    <xf numFmtId="4" fontId="45" fillId="38" borderId="14" applyNumberFormat="0" applyProtection="0">
      <alignment horizontal="left" vertical="center" indent="1"/>
    </xf>
    <xf numFmtId="4" fontId="45" fillId="43" borderId="14" applyNumberFormat="0" applyProtection="0">
      <alignment horizontal="right" vertical="center"/>
    </xf>
    <xf numFmtId="4" fontId="46" fillId="43" borderId="14" applyNumberFormat="0" applyProtection="0">
      <alignment horizontal="right" vertical="center"/>
    </xf>
    <xf numFmtId="0" fontId="4" fillId="2" borderId="14" applyNumberFormat="0" applyProtection="0">
      <alignment horizontal="left" vertical="center" indent="1"/>
    </xf>
    <xf numFmtId="0" fontId="4" fillId="2" borderId="14" applyNumberFormat="0" applyProtection="0">
      <alignment horizontal="left" vertical="center" indent="1"/>
    </xf>
    <xf numFmtId="0" fontId="49" fillId="0" borderId="0">
      <alignment/>
      <protection/>
    </xf>
    <xf numFmtId="4" fontId="50" fillId="43" borderId="14" applyNumberFormat="0" applyProtection="0">
      <alignment horizontal="right" vertical="center"/>
    </xf>
    <xf numFmtId="39" fontId="4" fillId="46" borderId="0">
      <alignment/>
      <protection/>
    </xf>
    <xf numFmtId="39" fontId="4" fillId="46" borderId="0">
      <alignment/>
      <protection/>
    </xf>
    <xf numFmtId="0" fontId="51" fillId="0" borderId="0" applyNumberFormat="0" applyFill="0" applyBorder="0" applyAlignment="0" applyProtection="0"/>
    <xf numFmtId="38" fontId="24" fillId="0" borderId="20">
      <alignment/>
      <protection/>
    </xf>
    <xf numFmtId="38" fontId="24" fillId="0" borderId="20">
      <alignment/>
      <protection/>
    </xf>
    <xf numFmtId="38" fontId="24" fillId="0" borderId="20">
      <alignment/>
      <protection/>
    </xf>
    <xf numFmtId="38" fontId="24" fillId="0" borderId="20">
      <alignment/>
      <protection/>
    </xf>
    <xf numFmtId="38" fontId="24" fillId="0" borderId="20">
      <alignment/>
      <protection/>
    </xf>
    <xf numFmtId="38" fontId="29" fillId="0" borderId="18">
      <alignment/>
      <protection/>
    </xf>
    <xf numFmtId="39" fontId="0" fillId="47" borderId="0">
      <alignment/>
      <protection/>
    </xf>
    <xf numFmtId="166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82" fontId="4" fillId="0" borderId="0">
      <alignment horizontal="left" wrapText="1"/>
      <protection/>
    </xf>
    <xf numFmtId="165" fontId="4" fillId="0" borderId="0">
      <alignment horizontal="left" wrapText="1"/>
      <protection/>
    </xf>
    <xf numFmtId="179" fontId="4" fillId="0" borderId="0">
      <alignment horizontal="left" wrapText="1"/>
      <protection/>
    </xf>
    <xf numFmtId="177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65" fontId="4" fillId="0" borderId="0">
      <alignment horizontal="left" wrapText="1"/>
      <protection/>
    </xf>
    <xf numFmtId="191" fontId="4" fillId="0" borderId="0">
      <alignment horizontal="left" wrapText="1"/>
      <protection/>
    </xf>
    <xf numFmtId="40" fontId="52" fillId="0" borderId="0" applyBorder="0">
      <alignment horizontal="right"/>
      <protection/>
    </xf>
    <xf numFmtId="41" fontId="53" fillId="31" borderId="0">
      <alignment horizontal="left"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86" fontId="55" fillId="31" borderId="0">
      <alignment horizontal="left" vertical="center"/>
      <protection/>
    </xf>
    <xf numFmtId="0" fontId="35" fillId="31" borderId="0">
      <alignment horizontal="left" wrapText="1"/>
      <protection/>
    </xf>
    <xf numFmtId="0" fontId="35" fillId="31" borderId="0">
      <alignment horizontal="left" wrapText="1"/>
      <protection/>
    </xf>
    <xf numFmtId="0" fontId="56" fillId="0" borderId="0">
      <alignment horizontal="left" vertical="center"/>
      <protection/>
    </xf>
    <xf numFmtId="0" fontId="13" fillId="0" borderId="21" applyNumberFormat="0" applyFon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15" fillId="0" borderId="23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505">
    <xf numFmtId="0" fontId="0" fillId="0" borderId="0" xfId="0" applyNumberFormat="1" applyAlignment="1">
      <alignment/>
    </xf>
    <xf numFmtId="0" fontId="4" fillId="0" borderId="0" xfId="1303" applyFill="1" applyBorder="1" applyAlignment="1">
      <alignment/>
      <protection/>
    </xf>
    <xf numFmtId="0" fontId="4" fillId="0" borderId="0" xfId="1303" applyFill="1">
      <alignment/>
      <protection/>
    </xf>
    <xf numFmtId="0" fontId="58" fillId="0" borderId="0" xfId="0" applyNumberFormat="1" applyFont="1" applyFill="1" applyAlignment="1">
      <alignment horizontal="right"/>
    </xf>
    <xf numFmtId="170" fontId="4" fillId="0" borderId="0" xfId="1303" applyNumberFormat="1" applyFill="1">
      <alignment/>
      <protection/>
    </xf>
    <xf numFmtId="0" fontId="4" fillId="0" borderId="0" xfId="1303" applyFill="1" applyAlignment="1">
      <alignment horizontal="center"/>
      <protection/>
    </xf>
    <xf numFmtId="0" fontId="59" fillId="0" borderId="0" xfId="1303" applyFont="1" applyFill="1" applyAlignment="1">
      <alignment horizontal="left"/>
      <protection/>
    </xf>
    <xf numFmtId="0" fontId="4" fillId="0" borderId="0" xfId="1303" applyFill="1" applyAlignment="1">
      <alignment horizontal="right"/>
      <protection/>
    </xf>
    <xf numFmtId="170" fontId="4" fillId="0" borderId="0" xfId="1112" applyNumberFormat="1" applyFill="1" applyAlignment="1">
      <alignment/>
    </xf>
    <xf numFmtId="170" fontId="4" fillId="0" borderId="0" xfId="1112" applyNumberFormat="1" applyFill="1" applyAlignment="1">
      <alignment horizontal="right"/>
    </xf>
    <xf numFmtId="0" fontId="4" fillId="0" borderId="0" xfId="1303" applyFill="1" applyAlignment="1" quotePrefix="1">
      <alignment horizontal="left"/>
      <protection/>
    </xf>
    <xf numFmtId="0" fontId="35" fillId="0" borderId="17" xfId="1303" applyFont="1" applyFill="1" applyBorder="1" applyAlignment="1">
      <alignment horizontal="center"/>
      <protection/>
    </xf>
    <xf numFmtId="170" fontId="35" fillId="0" borderId="0" xfId="1112" applyNumberFormat="1" applyFont="1" applyFill="1" applyAlignment="1">
      <alignment horizontal="center"/>
    </xf>
    <xf numFmtId="0" fontId="4" fillId="0" borderId="0" xfId="1303" applyFill="1" applyAlignment="1">
      <alignment horizontal="left"/>
      <protection/>
    </xf>
    <xf numFmtId="0" fontId="4" fillId="0" borderId="0" xfId="1303" applyFont="1" applyFill="1" applyAlignment="1">
      <alignment horizontal="center"/>
      <protection/>
    </xf>
    <xf numFmtId="171" fontId="4" fillId="0" borderId="0" xfId="1158" applyNumberFormat="1" applyFont="1" applyFill="1" applyAlignment="1">
      <alignment/>
    </xf>
    <xf numFmtId="0" fontId="4" fillId="0" borderId="0" xfId="1303" applyFont="1" applyFill="1" applyAlignment="1">
      <alignment horizontal="right"/>
      <protection/>
    </xf>
    <xf numFmtId="170" fontId="4" fillId="0" borderId="0" xfId="1112" applyNumberFormat="1" applyFont="1" applyFill="1" applyAlignment="1">
      <alignment/>
    </xf>
    <xf numFmtId="170" fontId="4" fillId="0" borderId="0" xfId="1112" applyNumberFormat="1" applyFont="1" applyFill="1" applyAlignment="1">
      <alignment horizontal="right"/>
    </xf>
    <xf numFmtId="170" fontId="4" fillId="0" borderId="17" xfId="1112" applyNumberFormat="1" applyFont="1" applyFill="1" applyBorder="1" applyAlignment="1">
      <alignment horizontal="right"/>
    </xf>
    <xf numFmtId="171" fontId="4" fillId="0" borderId="0" xfId="1158" applyNumberFormat="1" applyFont="1" applyFill="1" applyAlignment="1">
      <alignment horizontal="right"/>
    </xf>
    <xf numFmtId="170" fontId="4" fillId="0" borderId="0" xfId="1112" applyNumberFormat="1" applyFont="1" applyFill="1" applyAlignment="1">
      <alignment horizontal="center"/>
    </xf>
    <xf numFmtId="10" fontId="4" fillId="0" borderId="0" xfId="1303" applyNumberFormat="1" applyFont="1" applyFill="1" applyAlignment="1">
      <alignment horizontal="right"/>
      <protection/>
    </xf>
    <xf numFmtId="43" fontId="4" fillId="0" borderId="0" xfId="1303" applyNumberFormat="1" applyFont="1" applyFill="1" applyAlignment="1">
      <alignment horizontal="right"/>
      <protection/>
    </xf>
    <xf numFmtId="167" fontId="4" fillId="0" borderId="0" xfId="1112" applyNumberFormat="1" applyFont="1" applyFill="1" applyAlignment="1">
      <alignment horizontal="center"/>
    </xf>
    <xf numFmtId="0" fontId="4" fillId="0" borderId="17" xfId="1303" applyFont="1" applyFill="1" applyBorder="1" applyAlignment="1">
      <alignment horizontal="center"/>
      <protection/>
    </xf>
    <xf numFmtId="0" fontId="4" fillId="0" borderId="0" xfId="1303" applyFont="1" applyFill="1">
      <alignment/>
      <protection/>
    </xf>
    <xf numFmtId="170" fontId="4" fillId="0" borderId="17" xfId="1112" applyNumberFormat="1" applyFont="1" applyFill="1" applyBorder="1" applyAlignment="1">
      <alignment horizontal="center"/>
    </xf>
    <xf numFmtId="170" fontId="4" fillId="0" borderId="17" xfId="1112" applyNumberFormat="1" applyFont="1" applyFill="1" applyBorder="1" applyAlignment="1">
      <alignment horizontal="centerContinuous"/>
    </xf>
    <xf numFmtId="170" fontId="4" fillId="0" borderId="17" xfId="1112" applyNumberFormat="1" applyFill="1" applyBorder="1" applyAlignment="1">
      <alignment horizontal="centerContinuous"/>
    </xf>
    <xf numFmtId="0" fontId="4" fillId="0" borderId="0" xfId="1303" applyFill="1" applyBorder="1">
      <alignment/>
      <protection/>
    </xf>
    <xf numFmtId="177" fontId="4" fillId="0" borderId="0" xfId="1158" applyNumberFormat="1" applyFont="1" applyFill="1" applyAlignment="1">
      <alignment/>
    </xf>
    <xf numFmtId="170" fontId="4" fillId="0" borderId="0" xfId="1112" applyNumberFormat="1" applyFont="1" applyFill="1" applyBorder="1" applyAlignment="1">
      <alignment/>
    </xf>
    <xf numFmtId="189" fontId="4" fillId="0" borderId="0" xfId="1073" applyNumberFormat="1" applyFont="1" applyFill="1" applyAlignment="1">
      <alignment/>
    </xf>
    <xf numFmtId="170" fontId="4" fillId="0" borderId="24" xfId="1112" applyNumberFormat="1" applyFont="1" applyFill="1" applyBorder="1" applyAlignment="1">
      <alignment/>
    </xf>
    <xf numFmtId="0" fontId="0" fillId="0" borderId="0" xfId="0" applyNumberFormat="1" applyAlignment="1">
      <alignment vertical="center"/>
    </xf>
    <xf numFmtId="0" fontId="4" fillId="0" borderId="0" xfId="1303" applyFont="1" applyFill="1" applyBorder="1">
      <alignment/>
      <protection/>
    </xf>
    <xf numFmtId="170" fontId="4" fillId="0" borderId="25" xfId="1112" applyNumberFormat="1" applyFont="1" applyFill="1" applyBorder="1" applyAlignment="1">
      <alignment/>
    </xf>
    <xf numFmtId="170" fontId="4" fillId="0" borderId="26" xfId="1112" applyNumberFormat="1" applyFont="1" applyFill="1" applyBorder="1" applyAlignment="1">
      <alignment vertical="center"/>
    </xf>
    <xf numFmtId="41" fontId="4" fillId="0" borderId="0" xfId="1112" applyNumberFormat="1" applyFont="1" applyFill="1" applyBorder="1" applyAlignment="1">
      <alignment/>
    </xf>
    <xf numFmtId="0" fontId="4" fillId="0" borderId="0" xfId="1303" applyFont="1" applyFill="1" applyBorder="1" applyAlignment="1">
      <alignment horizontal="left" indent="1"/>
      <protection/>
    </xf>
    <xf numFmtId="170" fontId="4" fillId="0" borderId="27" xfId="1112" applyNumberFormat="1" applyFont="1" applyFill="1" applyBorder="1" applyAlignment="1">
      <alignment/>
    </xf>
    <xf numFmtId="170" fontId="4" fillId="0" borderId="28" xfId="1112" applyNumberFormat="1" applyFont="1" applyFill="1" applyBorder="1" applyAlignment="1">
      <alignment/>
    </xf>
    <xf numFmtId="170" fontId="4" fillId="0" borderId="0" xfId="1112" applyNumberFormat="1" applyFont="1" applyFill="1" applyBorder="1" applyAlignment="1">
      <alignment vertical="center"/>
    </xf>
    <xf numFmtId="0" fontId="4" fillId="0" borderId="0" xfId="1303" applyFill="1" applyAlignment="1">
      <alignment vertical="top"/>
      <protection/>
    </xf>
    <xf numFmtId="0" fontId="4" fillId="0" borderId="0" xfId="1303" applyFill="1" applyAlignment="1">
      <alignment horizontal="center" vertical="top"/>
      <protection/>
    </xf>
    <xf numFmtId="0" fontId="4" fillId="0" borderId="0" xfId="1303" applyFill="1" applyBorder="1" applyAlignment="1">
      <alignment vertical="top"/>
      <protection/>
    </xf>
    <xf numFmtId="170" fontId="4" fillId="0" borderId="0" xfId="1112" applyNumberFormat="1" applyFont="1" applyFill="1" applyAlignment="1">
      <alignment vertical="top"/>
    </xf>
    <xf numFmtId="0" fontId="4" fillId="0" borderId="0" xfId="1303" applyFont="1" applyFill="1" applyAlignment="1">
      <alignment vertical="top"/>
      <protection/>
    </xf>
    <xf numFmtId="170" fontId="4" fillId="0" borderId="27" xfId="1112" applyNumberFormat="1" applyFont="1" applyFill="1" applyBorder="1" applyAlignment="1">
      <alignment vertical="top"/>
    </xf>
    <xf numFmtId="0" fontId="4" fillId="0" borderId="0" xfId="1303" applyFont="1" applyFill="1" applyBorder="1" applyAlignment="1" quotePrefix="1">
      <alignment horizontal="left"/>
      <protection/>
    </xf>
    <xf numFmtId="0" fontId="4" fillId="0" borderId="0" xfId="1303" applyFill="1" applyAlignment="1" quotePrefix="1">
      <alignment horizontal="center"/>
      <protection/>
    </xf>
    <xf numFmtId="170" fontId="4" fillId="0" borderId="29" xfId="1112" applyNumberFormat="1" applyFont="1" applyFill="1" applyBorder="1" applyAlignment="1">
      <alignment/>
    </xf>
    <xf numFmtId="179" fontId="4" fillId="0" borderId="0" xfId="0" applyFont="1" applyFill="1" applyAlignment="1">
      <alignment horizontal="left" wrapText="1"/>
    </xf>
    <xf numFmtId="170" fontId="4" fillId="0" borderId="17" xfId="1112" applyNumberFormat="1" applyFont="1" applyFill="1" applyBorder="1" applyAlignment="1">
      <alignment/>
    </xf>
    <xf numFmtId="0" fontId="4" fillId="0" borderId="17" xfId="1303" applyFont="1" applyFill="1" applyBorder="1">
      <alignment/>
      <protection/>
    </xf>
    <xf numFmtId="171" fontId="4" fillId="0" borderId="0" xfId="1303" applyNumberFormat="1" applyFont="1" applyFill="1">
      <alignment/>
      <protection/>
    </xf>
    <xf numFmtId="39" fontId="4" fillId="0" borderId="0" xfId="1303" applyNumberFormat="1" applyFill="1">
      <alignment/>
      <protection/>
    </xf>
    <xf numFmtId="177" fontId="4" fillId="0" borderId="30" xfId="1158" applyNumberFormat="1" applyFont="1" applyFill="1" applyBorder="1" applyAlignment="1">
      <alignment/>
    </xf>
    <xf numFmtId="170" fontId="4" fillId="0" borderId="18" xfId="1112" applyNumberFormat="1" applyFont="1" applyFill="1" applyBorder="1" applyAlignment="1">
      <alignment/>
    </xf>
    <xf numFmtId="176" fontId="4" fillId="0" borderId="17" xfId="1112" applyNumberFormat="1" applyFont="1" applyFill="1" applyBorder="1" applyAlignment="1">
      <alignment/>
    </xf>
    <xf numFmtId="176" fontId="4" fillId="0" borderId="0" xfId="1112" applyNumberFormat="1" applyFont="1" applyFill="1" applyBorder="1" applyAlignment="1">
      <alignment/>
    </xf>
    <xf numFmtId="170" fontId="4" fillId="0" borderId="0" xfId="1073" applyNumberFormat="1" applyFont="1" applyFill="1" applyBorder="1" applyAlignment="1">
      <alignment/>
    </xf>
    <xf numFmtId="189" fontId="4" fillId="0" borderId="0" xfId="1073" applyNumberFormat="1" applyFont="1" applyFill="1" applyAlignment="1">
      <alignment horizontal="right" wrapText="1"/>
    </xf>
    <xf numFmtId="174" fontId="60" fillId="0" borderId="0" xfId="0" applyNumberFormat="1" applyFont="1" applyFill="1" applyAlignment="1">
      <alignment horizontal="right"/>
    </xf>
    <xf numFmtId="0" fontId="4" fillId="0" borderId="0" xfId="1303" applyFont="1" applyFill="1" applyAlignment="1">
      <alignment horizontal="centerContinuous"/>
      <protection/>
    </xf>
    <xf numFmtId="174" fontId="60" fillId="0" borderId="0" xfId="0" applyNumberFormat="1" applyFont="1" applyFill="1" applyBorder="1" applyAlignment="1">
      <alignment horizontal="right"/>
    </xf>
    <xf numFmtId="174" fontId="4" fillId="0" borderId="0" xfId="1112" applyNumberFormat="1" applyFont="1" applyFill="1" applyAlignment="1">
      <alignment/>
    </xf>
    <xf numFmtId="179" fontId="60" fillId="0" borderId="0" xfId="0" applyFont="1" applyFill="1" applyAlignment="1">
      <alignment horizontal="right"/>
    </xf>
    <xf numFmtId="179" fontId="60" fillId="0" borderId="0" xfId="0" applyFont="1" applyFill="1" applyBorder="1" applyAlignment="1">
      <alignment horizontal="right"/>
    </xf>
    <xf numFmtId="174" fontId="4" fillId="0" borderId="0" xfId="1303" applyNumberFormat="1" applyFont="1" applyFill="1">
      <alignment/>
      <protection/>
    </xf>
    <xf numFmtId="179" fontId="4" fillId="0" borderId="0" xfId="0" applyFont="1" applyFill="1" applyAlignment="1" quotePrefix="1">
      <alignment horizontal="left"/>
    </xf>
    <xf numFmtId="174" fontId="61" fillId="0" borderId="0" xfId="0" applyNumberFormat="1" applyFont="1" applyFill="1" applyAlignment="1">
      <alignment horizontal="centerContinuous"/>
    </xf>
    <xf numFmtId="179" fontId="4" fillId="0" borderId="0" xfId="0" applyFont="1" applyFill="1" applyBorder="1" applyAlignment="1">
      <alignment horizontal="centerContinuous"/>
    </xf>
    <xf numFmtId="177" fontId="4" fillId="0" borderId="0" xfId="1128" applyNumberFormat="1" applyFont="1" applyFill="1" applyAlignment="1">
      <alignment/>
    </xf>
    <xf numFmtId="179" fontId="4" fillId="0" borderId="0" xfId="0" applyFont="1" applyFill="1" applyAlignment="1">
      <alignment horizontal="left"/>
    </xf>
    <xf numFmtId="179" fontId="4" fillId="0" borderId="0" xfId="0" applyFont="1" applyFill="1" applyAlignment="1">
      <alignment wrapText="1"/>
    </xf>
    <xf numFmtId="179" fontId="62" fillId="0" borderId="0" xfId="0" applyFont="1" applyFill="1" applyAlignment="1">
      <alignment horizontal="left"/>
    </xf>
    <xf numFmtId="179" fontId="63" fillId="0" borderId="0" xfId="0" applyFont="1" applyFill="1" applyAlignment="1">
      <alignment horizontal="left"/>
    </xf>
    <xf numFmtId="43" fontId="4" fillId="0" borderId="0" xfId="1303" applyNumberFormat="1" applyFont="1" applyFill="1">
      <alignment/>
      <protection/>
    </xf>
    <xf numFmtId="0" fontId="4" fillId="0" borderId="0" xfId="1300">
      <alignment/>
      <protection/>
    </xf>
    <xf numFmtId="0" fontId="4" fillId="0" borderId="0" xfId="1300" applyBorder="1">
      <alignment/>
      <protection/>
    </xf>
    <xf numFmtId="41" fontId="4" fillId="0" borderId="0" xfId="1073" applyNumberFormat="1" applyFont="1" applyAlignment="1">
      <alignment/>
    </xf>
    <xf numFmtId="0" fontId="59" fillId="0" borderId="0" xfId="1300" applyFont="1" applyAlignment="1">
      <alignment horizontal="left"/>
      <protection/>
    </xf>
    <xf numFmtId="0" fontId="4" fillId="0" borderId="0" xfId="1300" applyAlignment="1">
      <alignment horizontal="center"/>
      <protection/>
    </xf>
    <xf numFmtId="0" fontId="4" fillId="0" borderId="0" xfId="1300" applyBorder="1" applyAlignment="1">
      <alignment horizontal="center"/>
      <protection/>
    </xf>
    <xf numFmtId="0" fontId="35" fillId="0" borderId="0" xfId="1300" applyFont="1">
      <alignment/>
      <protection/>
    </xf>
    <xf numFmtId="0" fontId="4" fillId="0" borderId="17" xfId="1300" applyBorder="1" applyAlignment="1" quotePrefix="1">
      <alignment horizontal="center"/>
      <protection/>
    </xf>
    <xf numFmtId="0" fontId="4" fillId="0" borderId="17" xfId="1300" applyBorder="1" applyAlignment="1">
      <alignment horizontal="center"/>
      <protection/>
    </xf>
    <xf numFmtId="0" fontId="4" fillId="0" borderId="0" xfId="1300" applyBorder="1" applyAlignment="1" quotePrefix="1">
      <alignment horizontal="center"/>
      <protection/>
    </xf>
    <xf numFmtId="0" fontId="45" fillId="0" borderId="0" xfId="1300" applyFont="1" applyFill="1" applyBorder="1" applyAlignment="1" applyProtection="1">
      <alignment horizontal="left"/>
      <protection/>
    </xf>
    <xf numFmtId="0" fontId="45" fillId="0" borderId="0" xfId="1300" applyFont="1" applyFill="1" applyBorder="1" applyProtection="1">
      <alignment/>
      <protection/>
    </xf>
    <xf numFmtId="42" fontId="4" fillId="0" borderId="0" xfId="1155" applyNumberFormat="1" applyAlignment="1">
      <alignment/>
    </xf>
    <xf numFmtId="42" fontId="4" fillId="0" borderId="0" xfId="1155" applyNumberFormat="1" applyBorder="1" applyAlignment="1">
      <alignment/>
    </xf>
    <xf numFmtId="41" fontId="4" fillId="0" borderId="0" xfId="1109" applyNumberFormat="1" applyAlignment="1">
      <alignment/>
    </xf>
    <xf numFmtId="41" fontId="4" fillId="0" borderId="0" xfId="1109" applyNumberFormat="1" applyBorder="1" applyAlignment="1">
      <alignment/>
    </xf>
    <xf numFmtId="179" fontId="4" fillId="0" borderId="0" xfId="0" applyFont="1" applyAlignment="1">
      <alignment horizontal="left" wrapText="1"/>
    </xf>
    <xf numFmtId="41" fontId="4" fillId="0" borderId="18" xfId="1300" applyNumberFormat="1" applyBorder="1">
      <alignment/>
      <protection/>
    </xf>
    <xf numFmtId="41" fontId="4" fillId="0" borderId="0" xfId="1300" applyNumberFormat="1" applyBorder="1">
      <alignment/>
      <protection/>
    </xf>
    <xf numFmtId="41" fontId="0" fillId="0" borderId="18" xfId="0" applyNumberFormat="1" applyBorder="1" applyAlignment="1">
      <alignment horizontal="left" wrapText="1"/>
    </xf>
    <xf numFmtId="41" fontId="0" fillId="0" borderId="0" xfId="0" applyNumberFormat="1" applyAlignment="1">
      <alignment horizontal="left" wrapText="1"/>
    </xf>
    <xf numFmtId="41" fontId="4" fillId="0" borderId="0" xfId="1300" applyNumberFormat="1">
      <alignment/>
      <protection/>
    </xf>
    <xf numFmtId="0" fontId="45" fillId="0" borderId="0" xfId="1300" applyFont="1" applyFill="1" applyBorder="1" applyAlignment="1" applyProtection="1" quotePrefix="1">
      <alignment horizontal="left"/>
      <protection/>
    </xf>
    <xf numFmtId="179" fontId="45" fillId="0" borderId="0" xfId="0" applyFont="1" applyFill="1" applyBorder="1" applyAlignment="1" applyProtection="1">
      <alignment horizontal="left"/>
      <protection/>
    </xf>
    <xf numFmtId="179" fontId="45" fillId="0" borderId="0" xfId="0" applyFont="1" applyFill="1" applyBorder="1" applyAlignment="1" applyProtection="1">
      <alignment horizontal="left" wrapText="1"/>
      <protection/>
    </xf>
    <xf numFmtId="0" fontId="45" fillId="0" borderId="0" xfId="1300" applyFont="1" applyFill="1" applyBorder="1" applyAlignment="1" applyProtection="1">
      <alignment horizontal="right"/>
      <protection/>
    </xf>
    <xf numFmtId="42" fontId="4" fillId="0" borderId="31" xfId="1155" applyNumberFormat="1" applyBorder="1" applyAlignment="1">
      <alignment/>
    </xf>
    <xf numFmtId="179" fontId="4" fillId="0" borderId="0" xfId="0" applyFont="1" applyFill="1" applyBorder="1" applyAlignment="1">
      <alignment horizontal="left" wrapText="1"/>
    </xf>
    <xf numFmtId="179" fontId="4" fillId="0" borderId="0" xfId="0" applyFont="1" applyBorder="1" applyAlignment="1">
      <alignment horizontal="left" wrapText="1"/>
    </xf>
    <xf numFmtId="0" fontId="4" fillId="0" borderId="0" xfId="1300" applyAlignment="1">
      <alignment horizontal="left" indent="1"/>
      <protection/>
    </xf>
    <xf numFmtId="41" fontId="4" fillId="0" borderId="0" xfId="0" applyNumberFormat="1" applyFont="1" applyAlignment="1">
      <alignment horizontal="left" wrapText="1"/>
    </xf>
    <xf numFmtId="0" fontId="64" fillId="0" borderId="0" xfId="1300" applyFont="1">
      <alignment/>
      <protection/>
    </xf>
    <xf numFmtId="0" fontId="4" fillId="0" borderId="0" xfId="0" applyNumberFormat="1" applyFont="1" applyAlignment="1">
      <alignment horizontal="center"/>
    </xf>
    <xf numFmtId="0" fontId="59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 indent="1"/>
    </xf>
    <xf numFmtId="170" fontId="4" fillId="0" borderId="0" xfId="1073" applyNumberFormat="1" applyFont="1" applyFill="1" applyAlignment="1">
      <alignment/>
    </xf>
    <xf numFmtId="0" fontId="4" fillId="0" borderId="0" xfId="0" applyNumberFormat="1" applyFont="1" applyAlignment="1" quotePrefix="1">
      <alignment horizontal="left"/>
    </xf>
    <xf numFmtId="170" fontId="4" fillId="0" borderId="17" xfId="1110" applyNumberFormat="1" applyFont="1" applyFill="1" applyBorder="1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Alignment="1">
      <alignment horizontal="right"/>
    </xf>
    <xf numFmtId="10" fontId="4" fillId="0" borderId="17" xfId="1323" applyNumberFormat="1" applyFont="1" applyFill="1" applyBorder="1" applyAlignment="1">
      <alignment/>
    </xf>
    <xf numFmtId="170" fontId="4" fillId="0" borderId="0" xfId="0" applyNumberFormat="1" applyFont="1" applyAlignment="1">
      <alignment/>
    </xf>
    <xf numFmtId="10" fontId="4" fillId="0" borderId="0" xfId="1323" applyNumberFormat="1" applyFont="1" applyAlignment="1">
      <alignment horizontal="left"/>
    </xf>
    <xf numFmtId="170" fontId="4" fillId="0" borderId="17" xfId="0" applyNumberFormat="1" applyFont="1" applyBorder="1" applyAlignment="1">
      <alignment/>
    </xf>
    <xf numFmtId="1" fontId="4" fillId="0" borderId="8" xfId="0" applyNumberFormat="1" applyFont="1" applyBorder="1" applyAlignment="1">
      <alignment horizontal="center" vertical="center"/>
    </xf>
    <xf numFmtId="179" fontId="66" fillId="0" borderId="8" xfId="0" applyFont="1" applyFill="1" applyBorder="1" applyAlignment="1" applyProtection="1">
      <alignment horizontal="center" vertical="center" wrapText="1"/>
      <protection/>
    </xf>
    <xf numFmtId="15" fontId="66" fillId="0" borderId="8" xfId="0" applyNumberFormat="1" applyFont="1" applyFill="1" applyBorder="1" applyAlignment="1" applyProtection="1" quotePrefix="1">
      <alignment horizontal="center" vertical="center" wrapText="1"/>
      <protection/>
    </xf>
    <xf numFmtId="179" fontId="47" fillId="0" borderId="8" xfId="0" applyFont="1" applyFill="1" applyBorder="1" applyAlignment="1">
      <alignment horizontal="center" vertical="center" wrapText="1"/>
    </xf>
    <xf numFmtId="179" fontId="45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45" fillId="0" borderId="0" xfId="0" applyNumberFormat="1" applyFont="1" applyFill="1" applyBorder="1" applyAlignment="1" applyProtection="1">
      <alignment horizontal="left"/>
      <protection/>
    </xf>
    <xf numFmtId="0" fontId="45" fillId="0" borderId="0" xfId="0" applyNumberFormat="1" applyFont="1" applyFill="1" applyBorder="1" applyAlignment="1" applyProtection="1">
      <alignment/>
      <protection/>
    </xf>
    <xf numFmtId="41" fontId="45" fillId="0" borderId="0" xfId="1110" applyNumberFormat="1" applyFont="1" applyFill="1" applyBorder="1" applyAlignment="1" applyProtection="1">
      <alignment/>
      <protection/>
    </xf>
    <xf numFmtId="41" fontId="45" fillId="0" borderId="0" xfId="1110" applyNumberFormat="1" applyFont="1" applyFill="1" applyBorder="1" applyAlignment="1" applyProtection="1">
      <alignment/>
      <protection/>
    </xf>
    <xf numFmtId="10" fontId="45" fillId="0" borderId="0" xfId="1323" applyNumberFormat="1" applyFont="1" applyFill="1" applyBorder="1" applyAlignment="1" applyProtection="1">
      <alignment/>
      <protection/>
    </xf>
    <xf numFmtId="41" fontId="45" fillId="0" borderId="0" xfId="0" applyNumberFormat="1" applyFont="1" applyFill="1" applyBorder="1" applyAlignment="1">
      <alignment/>
    </xf>
    <xf numFmtId="0" fontId="45" fillId="0" borderId="0" xfId="0" applyNumberFormat="1" applyFont="1" applyFill="1" applyBorder="1" applyAlignment="1">
      <alignment/>
    </xf>
    <xf numFmtId="0" fontId="45" fillId="0" borderId="0" xfId="0" applyNumberFormat="1" applyFont="1" applyFill="1" applyBorder="1" applyAlignment="1">
      <alignment horizontal="center" vertical="center" wrapText="1"/>
    </xf>
    <xf numFmtId="41" fontId="45" fillId="0" borderId="0" xfId="1073" applyNumberFormat="1" applyFont="1" applyFill="1" applyBorder="1" applyAlignment="1" applyProtection="1">
      <alignment/>
      <protection/>
    </xf>
    <xf numFmtId="10" fontId="45" fillId="0" borderId="0" xfId="1323" applyNumberFormat="1" applyFont="1" applyFill="1" applyBorder="1" applyAlignment="1">
      <alignment horizontal="right"/>
    </xf>
    <xf numFmtId="41" fontId="45" fillId="0" borderId="18" xfId="1110" applyNumberFormat="1" applyFont="1" applyFill="1" applyBorder="1" applyAlignment="1" applyProtection="1">
      <alignment/>
      <protection/>
    </xf>
    <xf numFmtId="10" fontId="45" fillId="0" borderId="18" xfId="1323" applyNumberFormat="1" applyFont="1" applyFill="1" applyBorder="1" applyAlignment="1" applyProtection="1">
      <alignment/>
      <protection/>
    </xf>
    <xf numFmtId="41" fontId="45" fillId="0" borderId="18" xfId="1110" applyNumberFormat="1" applyFont="1" applyFill="1" applyBorder="1" applyAlignment="1" applyProtection="1">
      <alignment/>
      <protection/>
    </xf>
    <xf numFmtId="10" fontId="50" fillId="0" borderId="0" xfId="1323" applyNumberFormat="1" applyFont="1" applyFill="1" applyBorder="1" applyAlignment="1" applyProtection="1">
      <alignment/>
      <protection/>
    </xf>
    <xf numFmtId="41" fontId="45" fillId="0" borderId="17" xfId="1110" applyNumberFormat="1" applyFont="1" applyFill="1" applyBorder="1" applyAlignment="1" applyProtection="1">
      <alignment/>
      <protection/>
    </xf>
    <xf numFmtId="41" fontId="45" fillId="0" borderId="17" xfId="1110" applyNumberFormat="1" applyFont="1" applyFill="1" applyBorder="1" applyAlignment="1" applyProtection="1">
      <alignment/>
      <protection/>
    </xf>
    <xf numFmtId="0" fontId="45" fillId="0" borderId="17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/>
    </xf>
    <xf numFmtId="0" fontId="35" fillId="0" borderId="0" xfId="0" applyNumberFormat="1" applyFont="1" applyAlignment="1">
      <alignment/>
    </xf>
    <xf numFmtId="0" fontId="35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 wrapText="1"/>
    </xf>
    <xf numFmtId="42" fontId="4" fillId="0" borderId="0" xfId="0" applyNumberFormat="1" applyFont="1" applyBorder="1" applyAlignment="1">
      <alignment horizontal="left" wrapText="1"/>
    </xf>
    <xf numFmtId="41" fontId="4" fillId="0" borderId="0" xfId="0" applyNumberFormat="1" applyFont="1" applyFill="1" applyBorder="1" applyAlignment="1">
      <alignment horizontal="left" wrapText="1"/>
    </xf>
    <xf numFmtId="41" fontId="4" fillId="0" borderId="0" xfId="1073" applyNumberFormat="1" applyFont="1" applyBorder="1" applyAlignment="1">
      <alignment/>
    </xf>
    <xf numFmtId="41" fontId="4" fillId="0" borderId="0" xfId="0" applyNumberFormat="1" applyFont="1" applyBorder="1" applyAlignment="1">
      <alignment horizontal="left" wrapText="1"/>
    </xf>
    <xf numFmtId="41" fontId="4" fillId="0" borderId="0" xfId="1073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left" wrapText="1"/>
    </xf>
    <xf numFmtId="41" fontId="4" fillId="0" borderId="17" xfId="0" applyNumberFormat="1" applyFont="1" applyBorder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179" fontId="4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Alignment="1">
      <alignment/>
    </xf>
    <xf numFmtId="41" fontId="4" fillId="0" borderId="0" xfId="1110" applyNumberFormat="1" applyFont="1" applyAlignment="1">
      <alignment/>
    </xf>
    <xf numFmtId="0" fontId="4" fillId="0" borderId="0" xfId="0" applyNumberFormat="1" applyFont="1" applyAlignment="1">
      <alignment horizontal="left"/>
    </xf>
    <xf numFmtId="41" fontId="4" fillId="0" borderId="0" xfId="1110" applyNumberFormat="1" applyFont="1" applyFill="1" applyAlignment="1">
      <alignment/>
    </xf>
    <xf numFmtId="42" fontId="4" fillId="0" borderId="16" xfId="1156" applyNumberFormat="1" applyFont="1" applyBorder="1" applyAlignment="1">
      <alignment/>
    </xf>
    <xf numFmtId="179" fontId="59" fillId="0" borderId="0" xfId="0" applyFont="1" applyBorder="1" applyAlignment="1">
      <alignment horizontal="left"/>
    </xf>
    <xf numFmtId="0" fontId="58" fillId="0" borderId="0" xfId="0" applyNumberFormat="1" applyFont="1" applyFill="1" applyAlignment="1">
      <alignment/>
    </xf>
    <xf numFmtId="0" fontId="63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65" fillId="0" borderId="0" xfId="0" applyNumberFormat="1" applyFont="1" applyFill="1" applyAlignment="1">
      <alignment/>
    </xf>
    <xf numFmtId="0" fontId="58" fillId="0" borderId="0" xfId="0" applyNumberFormat="1" applyFont="1" applyFill="1" applyBorder="1" applyAlignment="1" quotePrefix="1">
      <alignment horizontal="right"/>
    </xf>
    <xf numFmtId="0" fontId="58" fillId="0" borderId="0" xfId="0" applyNumberFormat="1" applyFont="1" applyFill="1" applyAlignment="1" applyProtection="1">
      <alignment horizontal="centerContinuous"/>
      <protection locked="0"/>
    </xf>
    <xf numFmtId="0" fontId="58" fillId="0" borderId="0" xfId="0" applyNumberFormat="1" applyFont="1" applyFill="1" applyAlignment="1">
      <alignment horizontal="centerContinuous"/>
    </xf>
    <xf numFmtId="15" fontId="58" fillId="0" borderId="0" xfId="0" applyNumberFormat="1" applyFont="1" applyFill="1" applyAlignment="1">
      <alignment horizontal="centerContinuous"/>
    </xf>
    <xf numFmtId="18" fontId="58" fillId="0" borderId="0" xfId="0" applyNumberFormat="1" applyFont="1" applyFill="1" applyAlignment="1">
      <alignment horizontal="centerContinuous"/>
    </xf>
    <xf numFmtId="0" fontId="63" fillId="0" borderId="0" xfId="0" applyNumberFormat="1" applyFont="1" applyFill="1" applyAlignment="1">
      <alignment horizontal="center"/>
    </xf>
    <xf numFmtId="0" fontId="58" fillId="0" borderId="0" xfId="0" applyNumberFormat="1" applyFont="1" applyFill="1" applyAlignment="1" applyProtection="1">
      <alignment horizontal="center"/>
      <protection locked="0"/>
    </xf>
    <xf numFmtId="0" fontId="58" fillId="0" borderId="0" xfId="0" applyNumberFormat="1" applyFont="1" applyFill="1" applyAlignment="1">
      <alignment horizontal="center"/>
    </xf>
    <xf numFmtId="0" fontId="58" fillId="0" borderId="17" xfId="0" applyNumberFormat="1" applyFont="1" applyFill="1" applyBorder="1" applyAlignment="1">
      <alignment horizontal="center"/>
    </xf>
    <xf numFmtId="0" fontId="58" fillId="0" borderId="17" xfId="0" applyNumberFormat="1" applyFont="1" applyFill="1" applyBorder="1" applyAlignment="1">
      <alignment/>
    </xf>
    <xf numFmtId="166" fontId="58" fillId="0" borderId="17" xfId="0" applyNumberFormat="1" applyFont="1" applyFill="1" applyBorder="1" applyAlignment="1">
      <alignment horizontal="center"/>
    </xf>
    <xf numFmtId="9" fontId="58" fillId="0" borderId="17" xfId="0" applyNumberFormat="1" applyFont="1" applyFill="1" applyBorder="1" applyAlignment="1">
      <alignment horizontal="center"/>
    </xf>
    <xf numFmtId="166" fontId="63" fillId="0" borderId="0" xfId="0" applyNumberFormat="1" applyFont="1" applyFill="1" applyAlignment="1">
      <alignment/>
    </xf>
    <xf numFmtId="0" fontId="67" fillId="0" borderId="0" xfId="0" applyNumberFormat="1" applyFont="1" applyFill="1" applyAlignment="1">
      <alignment/>
    </xf>
    <xf numFmtId="44" fontId="63" fillId="0" borderId="0" xfId="0" applyNumberFormat="1" applyFont="1" applyFill="1" applyAlignment="1">
      <alignment/>
    </xf>
    <xf numFmtId="0" fontId="63" fillId="0" borderId="0" xfId="0" applyNumberFormat="1" applyFont="1" applyFill="1" applyAlignment="1">
      <alignment horizontal="left"/>
    </xf>
    <xf numFmtId="169" fontId="63" fillId="0" borderId="0" xfId="0" applyNumberFormat="1" applyFont="1" applyFill="1" applyAlignment="1">
      <alignment/>
    </xf>
    <xf numFmtId="42" fontId="63" fillId="0" borderId="0" xfId="0" applyNumberFormat="1" applyFont="1" applyFill="1" applyAlignment="1">
      <alignment/>
    </xf>
    <xf numFmtId="41" fontId="63" fillId="0" borderId="0" xfId="0" applyNumberFormat="1" applyFont="1" applyFill="1" applyAlignment="1">
      <alignment/>
    </xf>
    <xf numFmtId="41" fontId="63" fillId="0" borderId="18" xfId="0" applyNumberFormat="1" applyFont="1" applyFill="1" applyBorder="1" applyAlignment="1">
      <alignment/>
    </xf>
    <xf numFmtId="41" fontId="63" fillId="0" borderId="0" xfId="0" applyNumberFormat="1" applyFont="1" applyFill="1" applyBorder="1" applyAlignment="1">
      <alignment/>
    </xf>
    <xf numFmtId="41" fontId="63" fillId="0" borderId="17" xfId="0" applyNumberFormat="1" applyFont="1" applyFill="1" applyBorder="1" applyAlignment="1">
      <alignment/>
    </xf>
    <xf numFmtId="0" fontId="67" fillId="0" borderId="0" xfId="0" applyNumberFormat="1" applyFont="1" applyFill="1" applyBorder="1" applyAlignment="1">
      <alignment horizontal="left"/>
    </xf>
    <xf numFmtId="41" fontId="63" fillId="0" borderId="4" xfId="0" applyNumberFormat="1" applyFont="1" applyFill="1" applyBorder="1" applyAlignment="1">
      <alignment/>
    </xf>
    <xf numFmtId="37" fontId="63" fillId="0" borderId="0" xfId="1073" applyNumberFormat="1" applyFont="1" applyFill="1" applyBorder="1" applyAlignment="1">
      <alignment/>
    </xf>
    <xf numFmtId="170" fontId="63" fillId="0" borderId="18" xfId="0" applyNumberFormat="1" applyFont="1" applyFill="1" applyBorder="1" applyAlignment="1">
      <alignment horizontal="left" wrapText="1"/>
    </xf>
    <xf numFmtId="0" fontId="0" fillId="0" borderId="0" xfId="0" applyNumberFormat="1" applyFont="1" applyFill="1" applyAlignment="1">
      <alignment/>
    </xf>
    <xf numFmtId="170" fontId="0" fillId="0" borderId="0" xfId="0" applyNumberFormat="1" applyFont="1" applyFill="1" applyBorder="1" applyAlignment="1">
      <alignment/>
    </xf>
    <xf numFmtId="3" fontId="63" fillId="0" borderId="0" xfId="1073" applyNumberFormat="1" applyFont="1" applyFill="1" applyBorder="1" applyAlignment="1">
      <alignment/>
    </xf>
    <xf numFmtId="42" fontId="63" fillId="0" borderId="16" xfId="0" applyNumberFormat="1" applyFont="1" applyFill="1" applyBorder="1" applyAlignment="1">
      <alignment/>
    </xf>
    <xf numFmtId="42" fontId="63" fillId="0" borderId="0" xfId="0" applyNumberFormat="1" applyFont="1" applyFill="1" applyAlignment="1" applyProtection="1">
      <alignment/>
      <protection locked="0"/>
    </xf>
    <xf numFmtId="41" fontId="63" fillId="0" borderId="0" xfId="0" applyNumberFormat="1" applyFont="1" applyFill="1" applyBorder="1" applyAlignment="1" applyProtection="1">
      <alignment/>
      <protection locked="0"/>
    </xf>
    <xf numFmtId="41" fontId="63" fillId="0" borderId="0" xfId="0" applyNumberFormat="1" applyFont="1" applyFill="1" applyAlignment="1" applyProtection="1">
      <alignment/>
      <protection locked="0"/>
    </xf>
    <xf numFmtId="41" fontId="63" fillId="0" borderId="18" xfId="0" applyNumberFormat="1" applyFont="1" applyFill="1" applyBorder="1" applyAlignment="1" applyProtection="1">
      <alignment/>
      <protection locked="0"/>
    </xf>
    <xf numFmtId="41" fontId="63" fillId="0" borderId="0" xfId="0" applyNumberFormat="1" applyFont="1" applyFill="1" applyBorder="1" applyAlignment="1">
      <alignment horizontal="center"/>
    </xf>
    <xf numFmtId="42" fontId="63" fillId="0" borderId="31" xfId="1073" applyNumberFormat="1" applyFont="1" applyFill="1" applyBorder="1" applyAlignment="1">
      <alignment/>
    </xf>
    <xf numFmtId="172" fontId="63" fillId="0" borderId="18" xfId="0" applyNumberFormat="1" applyFont="1" applyFill="1" applyBorder="1" applyAlignment="1">
      <alignment/>
    </xf>
    <xf numFmtId="42" fontId="63" fillId="0" borderId="4" xfId="1073" applyNumberFormat="1" applyFont="1" applyFill="1" applyBorder="1" applyAlignment="1">
      <alignment/>
    </xf>
    <xf numFmtId="173" fontId="63" fillId="0" borderId="0" xfId="0" applyNumberFormat="1" applyFont="1" applyFill="1" applyBorder="1" applyAlignment="1">
      <alignment/>
    </xf>
    <xf numFmtId="42" fontId="63" fillId="0" borderId="0" xfId="1073" applyNumberFormat="1" applyFont="1" applyFill="1" applyBorder="1" applyAlignment="1">
      <alignment/>
    </xf>
    <xf numFmtId="0" fontId="62" fillId="0" borderId="0" xfId="0" applyNumberFormat="1" applyFont="1" applyFill="1" applyAlignment="1">
      <alignment/>
    </xf>
    <xf numFmtId="15" fontId="58" fillId="0" borderId="0" xfId="0" applyNumberFormat="1" applyFont="1" applyFill="1" applyAlignment="1">
      <alignment/>
    </xf>
    <xf numFmtId="0" fontId="58" fillId="0" borderId="0" xfId="0" applyNumberFormat="1" applyFont="1" applyFill="1" applyAlignment="1" applyProtection="1">
      <alignment horizontal="left"/>
      <protection locked="0"/>
    </xf>
    <xf numFmtId="42" fontId="58" fillId="0" borderId="0" xfId="0" applyNumberFormat="1" applyFont="1" applyFill="1" applyAlignment="1">
      <alignment/>
    </xf>
    <xf numFmtId="0" fontId="58" fillId="0" borderId="0" xfId="0" applyNumberFormat="1" applyFont="1" applyFill="1" applyAlignment="1" applyProtection="1">
      <alignment/>
      <protection locked="0"/>
    </xf>
    <xf numFmtId="42" fontId="58" fillId="0" borderId="0" xfId="0" applyNumberFormat="1" applyFont="1" applyFill="1" applyAlignment="1" applyProtection="1">
      <alignment horizontal="center"/>
      <protection locked="0"/>
    </xf>
    <xf numFmtId="0" fontId="58" fillId="0" borderId="17" xfId="0" applyNumberFormat="1" applyFont="1" applyFill="1" applyBorder="1" applyAlignment="1" applyProtection="1">
      <alignment horizontal="center"/>
      <protection locked="0"/>
    </xf>
    <xf numFmtId="0" fontId="63" fillId="0" borderId="0" xfId="0" applyNumberFormat="1" applyFont="1" applyFill="1" applyAlignment="1">
      <alignment horizontal="fill"/>
    </xf>
    <xf numFmtId="0" fontId="63" fillId="0" borderId="0" xfId="0" applyNumberFormat="1" applyFont="1" applyFill="1" applyAlignment="1" applyProtection="1">
      <alignment horizontal="fill"/>
      <protection locked="0"/>
    </xf>
    <xf numFmtId="42" fontId="63" fillId="0" borderId="0" xfId="0" applyNumberFormat="1" applyFont="1" applyFill="1" applyBorder="1" applyAlignment="1">
      <alignment/>
    </xf>
    <xf numFmtId="41" fontId="63" fillId="0" borderId="17" xfId="0" applyNumberFormat="1" applyFont="1" applyFill="1" applyBorder="1" applyAlignment="1" applyProtection="1">
      <alignment/>
      <protection locked="0"/>
    </xf>
    <xf numFmtId="0" fontId="58" fillId="0" borderId="0" xfId="0" applyNumberFormat="1" applyFont="1" applyFill="1" applyAlignment="1">
      <alignment horizontal="left"/>
    </xf>
    <xf numFmtId="0" fontId="63" fillId="0" borderId="18" xfId="0" applyNumberFormat="1" applyFont="1" applyFill="1" applyBorder="1" applyAlignment="1">
      <alignment/>
    </xf>
    <xf numFmtId="0" fontId="63" fillId="0" borderId="0" xfId="0" applyNumberFormat="1" applyFont="1" applyFill="1" applyAlignment="1" applyProtection="1">
      <alignment horizontal="left"/>
      <protection locked="0"/>
    </xf>
    <xf numFmtId="42" fontId="68" fillId="0" borderId="0" xfId="1128" applyNumberFormat="1" applyFont="1" applyFill="1" applyAlignment="1" applyProtection="1">
      <alignment/>
      <protection locked="0"/>
    </xf>
    <xf numFmtId="42" fontId="68" fillId="0" borderId="18" xfId="1128" applyNumberFormat="1" applyFont="1" applyFill="1" applyBorder="1" applyAlignment="1" applyProtection="1">
      <alignment/>
      <protection locked="0"/>
    </xf>
    <xf numFmtId="169" fontId="63" fillId="0" borderId="0" xfId="0" applyNumberFormat="1" applyFont="1" applyFill="1" applyAlignment="1" applyProtection="1">
      <alignment/>
      <protection locked="0"/>
    </xf>
    <xf numFmtId="41" fontId="68" fillId="0" borderId="0" xfId="1128" applyNumberFormat="1" applyFont="1" applyFill="1" applyBorder="1" applyAlignment="1" applyProtection="1">
      <alignment/>
      <protection locked="0"/>
    </xf>
    <xf numFmtId="42" fontId="63" fillId="0" borderId="18" xfId="1128" applyNumberFormat="1" applyFont="1" applyFill="1" applyBorder="1" applyAlignment="1" applyProtection="1">
      <alignment/>
      <protection locked="0"/>
    </xf>
    <xf numFmtId="0" fontId="63" fillId="0" borderId="0" xfId="0" applyNumberFormat="1" applyFont="1" applyFill="1" applyBorder="1" applyAlignment="1">
      <alignment/>
    </xf>
    <xf numFmtId="171" fontId="63" fillId="0" borderId="0" xfId="0" applyNumberFormat="1" applyFont="1" applyFill="1" applyAlignment="1">
      <alignment/>
    </xf>
    <xf numFmtId="170" fontId="63" fillId="0" borderId="0" xfId="0" applyNumberFormat="1" applyFont="1" applyFill="1" applyAlignment="1">
      <alignment/>
    </xf>
    <xf numFmtId="42" fontId="63" fillId="0" borderId="0" xfId="1128" applyNumberFormat="1" applyFont="1" applyFill="1" applyBorder="1" applyAlignment="1" applyProtection="1">
      <alignment/>
      <protection locked="0"/>
    </xf>
    <xf numFmtId="9" fontId="63" fillId="0" borderId="0" xfId="0" applyNumberFormat="1" applyFont="1" applyFill="1" applyAlignment="1">
      <alignment/>
    </xf>
    <xf numFmtId="4" fontId="63" fillId="0" borderId="0" xfId="1073" applyFont="1" applyFill="1" applyAlignment="1">
      <alignment/>
    </xf>
    <xf numFmtId="0" fontId="63" fillId="0" borderId="0" xfId="0" applyNumberFormat="1" applyFont="1" applyFill="1" applyAlignment="1" quotePrefix="1">
      <alignment horizontal="right"/>
    </xf>
    <xf numFmtId="42" fontId="63" fillId="0" borderId="16" xfId="1128" applyNumberFormat="1" applyFont="1" applyFill="1" applyBorder="1" applyAlignment="1" applyProtection="1">
      <alignment/>
      <protection locked="0"/>
    </xf>
    <xf numFmtId="0" fontId="63" fillId="0" borderId="0" xfId="0" applyNumberFormat="1" applyFont="1" applyFill="1" applyAlignment="1">
      <alignment horizontal="centerContinuous"/>
    </xf>
    <xf numFmtId="0" fontId="63" fillId="0" borderId="0" xfId="0" applyNumberFormat="1" applyFont="1" applyFill="1" applyBorder="1" applyAlignment="1">
      <alignment horizontal="right"/>
    </xf>
    <xf numFmtId="37" fontId="63" fillId="0" borderId="0" xfId="0" applyNumberFormat="1" applyFont="1" applyFill="1" applyAlignment="1">
      <alignment horizontal="right"/>
    </xf>
    <xf numFmtId="0" fontId="35" fillId="0" borderId="0" xfId="1302" applyFont="1" applyFill="1" applyAlignment="1" applyProtection="1">
      <alignment horizontal="left"/>
      <protection locked="0"/>
    </xf>
    <xf numFmtId="0" fontId="4" fillId="0" borderId="0" xfId="1302" applyFont="1" applyFill="1" applyProtection="1">
      <alignment/>
      <protection locked="0"/>
    </xf>
    <xf numFmtId="0" fontId="4" fillId="0" borderId="0" xfId="1302" applyFont="1" applyFill="1" applyAlignment="1" applyProtection="1">
      <alignment/>
      <protection locked="0"/>
    </xf>
    <xf numFmtId="0" fontId="14" fillId="0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Fill="1" applyAlignment="1" applyProtection="1">
      <alignment/>
      <protection locked="0"/>
    </xf>
    <xf numFmtId="0" fontId="4" fillId="0" borderId="0" xfId="1302" applyFont="1" applyFill="1" applyBorder="1" applyAlignment="1" applyProtection="1">
      <alignment horizontal="center"/>
      <protection locked="0"/>
    </xf>
    <xf numFmtId="0" fontId="4" fillId="0" borderId="32" xfId="1302" applyFont="1" applyFill="1" applyBorder="1" applyAlignment="1" applyProtection="1">
      <alignment horizontal="center"/>
      <protection locked="0"/>
    </xf>
    <xf numFmtId="14" fontId="4" fillId="0" borderId="33" xfId="1302" applyNumberFormat="1" applyFont="1" applyFill="1" applyBorder="1" applyAlignment="1" applyProtection="1">
      <alignment horizontal="center"/>
      <protection locked="0"/>
    </xf>
    <xf numFmtId="10" fontId="4" fillId="0" borderId="34" xfId="1323" applyNumberFormat="1" applyFont="1" applyFill="1" applyBorder="1" applyAlignment="1" applyProtection="1">
      <alignment horizontal="center"/>
      <protection locked="0"/>
    </xf>
    <xf numFmtId="0" fontId="50" fillId="0" borderId="35" xfId="1302" applyFont="1" applyFill="1" applyBorder="1" applyAlignment="1" applyProtection="1">
      <alignment horizontal="center"/>
      <protection locked="0"/>
    </xf>
    <xf numFmtId="14" fontId="50" fillId="0" borderId="15" xfId="1302" applyNumberFormat="1" applyFont="1" applyFill="1" applyBorder="1" applyAlignment="1" applyProtection="1">
      <alignment horizontal="center"/>
      <protection locked="0"/>
    </xf>
    <xf numFmtId="10" fontId="50" fillId="0" borderId="36" xfId="1323" applyNumberFormat="1" applyFont="1" applyFill="1" applyBorder="1" applyAlignment="1" applyProtection="1">
      <alignment horizontal="center"/>
      <protection locked="0"/>
    </xf>
    <xf numFmtId="0" fontId="35" fillId="0" borderId="0" xfId="1302" applyFont="1" applyFill="1" applyProtection="1">
      <alignment/>
      <protection locked="0"/>
    </xf>
    <xf numFmtId="0" fontId="4" fillId="0" borderId="0" xfId="1302" applyFont="1" applyFill="1" applyBorder="1" applyAlignment="1" applyProtection="1">
      <alignment/>
      <protection locked="0"/>
    </xf>
    <xf numFmtId="0" fontId="4" fillId="0" borderId="0" xfId="1302" applyFill="1" applyProtection="1">
      <alignment/>
      <protection locked="0"/>
    </xf>
    <xf numFmtId="0" fontId="4" fillId="0" borderId="0" xfId="1302" applyFill="1" applyAlignment="1" applyProtection="1">
      <alignment/>
      <protection locked="0"/>
    </xf>
    <xf numFmtId="0" fontId="71" fillId="0" borderId="17" xfId="1302" applyFont="1" applyFill="1" applyBorder="1" applyAlignment="1" applyProtection="1">
      <alignment horizontal="centerContinuous"/>
      <protection locked="0"/>
    </xf>
    <xf numFmtId="0" fontId="0" fillId="0" borderId="0" xfId="0" applyNumberFormat="1" applyFill="1" applyAlignment="1" applyProtection="1">
      <alignment/>
      <protection locked="0"/>
    </xf>
    <xf numFmtId="170" fontId="35" fillId="0" borderId="17" xfId="1111" applyNumberFormat="1" applyFont="1" applyFill="1" applyBorder="1" applyAlignment="1" applyProtection="1">
      <alignment horizontal="centerContinuous"/>
      <protection locked="0"/>
    </xf>
    <xf numFmtId="0" fontId="0" fillId="0" borderId="17" xfId="0" applyNumberFormat="1" applyFill="1" applyBorder="1" applyAlignment="1" applyProtection="1">
      <alignment horizontal="centerContinuous"/>
      <protection locked="0"/>
    </xf>
    <xf numFmtId="0" fontId="4" fillId="0" borderId="17" xfId="0" applyNumberFormat="1" applyFont="1" applyFill="1" applyBorder="1" applyAlignment="1" applyProtection="1">
      <alignment horizontal="centerContinuous"/>
      <protection locked="0"/>
    </xf>
    <xf numFmtId="0" fontId="4" fillId="0" borderId="17" xfId="1302" applyFill="1" applyBorder="1" applyAlignment="1" applyProtection="1">
      <alignment horizontal="centerContinuous"/>
      <protection locked="0"/>
    </xf>
    <xf numFmtId="0" fontId="35" fillId="0" borderId="0" xfId="1302" applyFont="1" applyFill="1" applyBorder="1" applyAlignment="1" applyProtection="1">
      <alignment horizontal="centerContinuous"/>
      <protection locked="0"/>
    </xf>
    <xf numFmtId="170" fontId="35" fillId="0" borderId="0" xfId="1111" applyNumberFormat="1" applyFont="1" applyFill="1" applyBorder="1" applyAlignment="1" applyProtection="1">
      <alignment horizontal="centerContinuous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1302" applyFill="1" applyBorder="1" applyAlignment="1" applyProtection="1">
      <alignment horizontal="centerContinuous"/>
      <protection locked="0"/>
    </xf>
    <xf numFmtId="0" fontId="4" fillId="0" borderId="0" xfId="1302" applyFill="1" applyBorder="1" applyAlignment="1" applyProtection="1">
      <alignment/>
      <protection locked="0"/>
    </xf>
    <xf numFmtId="0" fontId="4" fillId="0" borderId="0" xfId="1302" applyFill="1" applyAlignment="1" applyProtection="1">
      <alignment horizontal="center"/>
      <protection locked="0"/>
    </xf>
    <xf numFmtId="0" fontId="35" fillId="0" borderId="0" xfId="1302" applyFont="1" applyFill="1" applyAlignment="1" applyProtection="1">
      <alignment horizontal="center"/>
      <protection locked="0"/>
    </xf>
    <xf numFmtId="0" fontId="35" fillId="0" borderId="17" xfId="1302" applyFont="1" applyFill="1" applyBorder="1" applyAlignment="1" applyProtection="1">
      <alignment horizontal="centerContinuous"/>
      <protection locked="0"/>
    </xf>
    <xf numFmtId="0" fontId="4" fillId="0" borderId="0" xfId="1302" applyFill="1" applyBorder="1" applyProtection="1">
      <alignment/>
      <protection locked="0"/>
    </xf>
    <xf numFmtId="0" fontId="35" fillId="0" borderId="17" xfId="1302" applyFont="1" applyFill="1" applyBorder="1" applyAlignment="1" applyProtection="1">
      <alignment horizontal="center"/>
      <protection locked="0"/>
    </xf>
    <xf numFmtId="0" fontId="35" fillId="0" borderId="17" xfId="1302" applyFont="1" applyFill="1" applyBorder="1" applyProtection="1">
      <alignment/>
      <protection locked="0"/>
    </xf>
    <xf numFmtId="0" fontId="4" fillId="0" borderId="17" xfId="1302" applyFont="1" applyFill="1" applyBorder="1" applyAlignment="1" applyProtection="1">
      <alignment/>
      <protection locked="0"/>
    </xf>
    <xf numFmtId="170" fontId="35" fillId="0" borderId="17" xfId="1111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ont="1" applyFill="1" applyBorder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 horizontal="centerContinuous"/>
      <protection locked="0"/>
    </xf>
    <xf numFmtId="0" fontId="35" fillId="0" borderId="17" xfId="0" applyNumberFormat="1" applyFont="1" applyFill="1" applyBorder="1" applyAlignment="1" applyProtection="1">
      <alignment horizontal="center"/>
      <protection locked="0"/>
    </xf>
    <xf numFmtId="10" fontId="35" fillId="0" borderId="17" xfId="1302" applyNumberFormat="1" applyFont="1" applyFill="1" applyBorder="1" applyAlignment="1" applyProtection="1">
      <alignment horizontal="center"/>
      <protection locked="0"/>
    </xf>
    <xf numFmtId="10" fontId="35" fillId="0" borderId="0" xfId="1302" applyNumberFormat="1" applyFont="1" applyFill="1" applyBorder="1" applyAlignment="1" applyProtection="1">
      <alignment horizontal="center"/>
      <protection locked="0"/>
    </xf>
    <xf numFmtId="0" fontId="35" fillId="0" borderId="0" xfId="1302" applyFont="1" applyFill="1" applyBorder="1" applyAlignment="1" applyProtection="1">
      <alignment horizontal="center"/>
      <protection locked="0"/>
    </xf>
    <xf numFmtId="0" fontId="4" fillId="0" borderId="0" xfId="1302" applyFill="1" applyBorder="1" applyAlignment="1" applyProtection="1">
      <alignment horizontal="center"/>
      <protection locked="0"/>
    </xf>
    <xf numFmtId="0" fontId="73" fillId="0" borderId="0" xfId="1302" applyFont="1" applyFill="1" applyBorder="1" applyAlignment="1" applyProtection="1">
      <alignment horizontal="center"/>
      <protection locked="0"/>
    </xf>
    <xf numFmtId="0" fontId="72" fillId="0" borderId="0" xfId="1302" applyFont="1" applyFill="1" applyBorder="1" applyAlignment="1">
      <alignment horizontal="center"/>
      <protection/>
    </xf>
    <xf numFmtId="0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centerContinuous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10" fontId="73" fillId="0" borderId="0" xfId="1302" applyNumberFormat="1" applyFont="1" applyFill="1" applyBorder="1" applyAlignment="1" applyProtection="1">
      <alignment horizontal="center"/>
      <protection locked="0"/>
    </xf>
    <xf numFmtId="0" fontId="35" fillId="0" borderId="0" xfId="1302" applyFont="1" applyFill="1" applyBorder="1" applyAlignment="1" applyProtection="1">
      <alignment/>
      <protection locked="0"/>
    </xf>
    <xf numFmtId="0" fontId="24" fillId="0" borderId="28" xfId="1302" applyFont="1" applyFill="1" applyBorder="1" applyAlignment="1" applyProtection="1">
      <alignment horizontal="left" indent="1"/>
      <protection locked="0"/>
    </xf>
    <xf numFmtId="0" fontId="4" fillId="0" borderId="0" xfId="1302" applyFill="1" applyBorder="1" applyAlignment="1" applyProtection="1">
      <alignment horizontal="right"/>
      <protection locked="0"/>
    </xf>
    <xf numFmtId="41" fontId="73" fillId="0" borderId="0" xfId="1302" applyNumberFormat="1" applyFont="1" applyFill="1" applyBorder="1" applyAlignment="1" applyProtection="1">
      <alignment horizontal="center"/>
      <protection locked="0"/>
    </xf>
    <xf numFmtId="41" fontId="4" fillId="0" borderId="0" xfId="1111" applyNumberFormat="1" applyFill="1" applyBorder="1" applyAlignment="1" applyProtection="1">
      <alignment/>
      <protection locked="0"/>
    </xf>
    <xf numFmtId="41" fontId="0" fillId="0" borderId="0" xfId="0" applyNumberFormat="1" applyFill="1" applyBorder="1" applyAlignment="1" applyProtection="1">
      <alignment/>
      <protection locked="0"/>
    </xf>
    <xf numFmtId="41" fontId="73" fillId="0" borderId="28" xfId="1111" applyNumberFormat="1" applyFont="1" applyFill="1" applyBorder="1" applyAlignment="1" applyProtection="1">
      <alignment horizontal="center"/>
      <protection locked="0"/>
    </xf>
    <xf numFmtId="41" fontId="73" fillId="0" borderId="0" xfId="1111" applyNumberFormat="1" applyFont="1" applyFill="1" applyBorder="1" applyAlignment="1" applyProtection="1">
      <alignment horizontal="center"/>
      <protection locked="0"/>
    </xf>
    <xf numFmtId="41" fontId="0" fillId="0" borderId="0" xfId="0" applyNumberFormat="1" applyFill="1" applyBorder="1" applyAlignment="1" applyProtection="1">
      <alignment horizontal="center"/>
      <protection locked="0"/>
    </xf>
    <xf numFmtId="10" fontId="4" fillId="0" borderId="0" xfId="0" applyNumberFormat="1" applyFont="1" applyFill="1" applyBorder="1" applyAlignment="1" applyProtection="1">
      <alignment/>
      <protection locked="0"/>
    </xf>
    <xf numFmtId="0" fontId="4" fillId="0" borderId="0" xfId="1302" applyFill="1" applyBorder="1" applyAlignment="1" applyProtection="1" quotePrefix="1">
      <alignment horizontal="center"/>
      <protection locked="0"/>
    </xf>
    <xf numFmtId="41" fontId="4" fillId="0" borderId="28" xfId="1111" applyNumberFormat="1" applyFill="1" applyBorder="1" applyAlignment="1" applyProtection="1">
      <alignment/>
      <protection locked="0"/>
    </xf>
    <xf numFmtId="193" fontId="0" fillId="0" borderId="0" xfId="0" applyNumberFormat="1" applyFill="1" applyBorder="1" applyAlignment="1" applyProtection="1">
      <alignment horizontal="center"/>
      <protection locked="0"/>
    </xf>
    <xf numFmtId="41" fontId="4" fillId="0" borderId="0" xfId="1157" applyNumberFormat="1" applyFill="1" applyBorder="1" applyAlignment="1" applyProtection="1">
      <alignment/>
      <protection locked="0"/>
    </xf>
    <xf numFmtId="171" fontId="4" fillId="0" borderId="0" xfId="1157" applyNumberFormat="1" applyFill="1" applyBorder="1" applyAlignment="1" applyProtection="1">
      <alignment/>
      <protection locked="0"/>
    </xf>
    <xf numFmtId="170" fontId="4" fillId="0" borderId="28" xfId="1111" applyNumberFormat="1" applyFill="1" applyBorder="1" applyAlignment="1" applyProtection="1">
      <alignment/>
      <protection locked="0"/>
    </xf>
    <xf numFmtId="193" fontId="0" fillId="0" borderId="0" xfId="0" applyNumberFormat="1" applyFont="1" applyFill="1" applyBorder="1" applyAlignment="1" applyProtection="1">
      <alignment horizontal="center"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10" fontId="24" fillId="0" borderId="0" xfId="0" applyNumberFormat="1" applyFont="1" applyFill="1" applyBorder="1" applyAlignment="1" applyProtection="1">
      <alignment/>
      <protection locked="0"/>
    </xf>
    <xf numFmtId="41" fontId="4" fillId="0" borderId="0" xfId="1157" applyNumberFormat="1" applyFont="1" applyFill="1" applyBorder="1" applyAlignment="1" applyProtection="1">
      <alignment/>
      <protection locked="0"/>
    </xf>
    <xf numFmtId="0" fontId="4" fillId="0" borderId="37" xfId="1302" applyFill="1" applyBorder="1" applyAlignment="1" applyProtection="1" quotePrefix="1">
      <alignment horizontal="center" vertical="center"/>
      <protection locked="0"/>
    </xf>
    <xf numFmtId="0" fontId="4" fillId="0" borderId="20" xfId="1302" applyFill="1" applyBorder="1" applyAlignment="1" applyProtection="1">
      <alignment horizontal="right" vertical="center"/>
      <protection locked="0"/>
    </xf>
    <xf numFmtId="41" fontId="4" fillId="0" borderId="20" xfId="1111" applyNumberFormat="1" applyFill="1" applyBorder="1" applyAlignment="1" applyProtection="1">
      <alignment/>
      <protection locked="0"/>
    </xf>
    <xf numFmtId="41" fontId="4" fillId="0" borderId="20" xfId="1111" applyNumberFormat="1" applyFill="1" applyBorder="1" applyAlignment="1" applyProtection="1">
      <alignment horizontal="right" vertical="center"/>
      <protection locked="0"/>
    </xf>
    <xf numFmtId="41" fontId="0" fillId="0" borderId="20" xfId="0" applyNumberFormat="1" applyFill="1" applyBorder="1" applyAlignment="1" applyProtection="1">
      <alignment/>
      <protection locked="0"/>
    </xf>
    <xf numFmtId="170" fontId="4" fillId="0" borderId="37" xfId="1111" applyNumberFormat="1" applyFill="1" applyBorder="1" applyAlignment="1" applyProtection="1">
      <alignment/>
      <protection locked="0"/>
    </xf>
    <xf numFmtId="193" fontId="0" fillId="0" borderId="20" xfId="0" applyNumberFormat="1" applyFont="1" applyFill="1" applyBorder="1" applyAlignment="1" applyProtection="1">
      <alignment horizontal="center"/>
      <protection locked="0"/>
    </xf>
    <xf numFmtId="41" fontId="0" fillId="0" borderId="20" xfId="0" applyNumberFormat="1" applyFont="1" applyFill="1" applyBorder="1" applyAlignment="1" applyProtection="1">
      <alignment/>
      <protection locked="0"/>
    </xf>
    <xf numFmtId="10" fontId="4" fillId="0" borderId="20" xfId="0" applyNumberFormat="1" applyFont="1" applyFill="1" applyBorder="1" applyAlignment="1" applyProtection="1">
      <alignment/>
      <protection locked="0"/>
    </xf>
    <xf numFmtId="41" fontId="4" fillId="0" borderId="20" xfId="1157" applyNumberFormat="1" applyFont="1" applyFill="1" applyBorder="1" applyAlignment="1" applyProtection="1">
      <alignment/>
      <protection locked="0"/>
    </xf>
    <xf numFmtId="41" fontId="4" fillId="0" borderId="38" xfId="1157" applyNumberFormat="1" applyFill="1" applyBorder="1" applyAlignment="1" applyProtection="1">
      <alignment/>
      <protection locked="0"/>
    </xf>
    <xf numFmtId="0" fontId="4" fillId="0" borderId="25" xfId="1302" applyFill="1" applyBorder="1" applyAlignment="1" applyProtection="1" quotePrefix="1">
      <alignment horizontal="center" vertical="center"/>
      <protection locked="0"/>
    </xf>
    <xf numFmtId="0" fontId="4" fillId="0" borderId="39" xfId="1302" applyFill="1" applyBorder="1" applyAlignment="1" applyProtection="1">
      <alignment horizontal="right" vertical="center"/>
      <protection locked="0"/>
    </xf>
    <xf numFmtId="41" fontId="4" fillId="0" borderId="39" xfId="1111" applyNumberFormat="1" applyFill="1" applyBorder="1" applyAlignment="1" applyProtection="1">
      <alignment/>
      <protection locked="0"/>
    </xf>
    <xf numFmtId="41" fontId="4" fillId="0" borderId="39" xfId="1111" applyNumberFormat="1" applyFill="1" applyBorder="1" applyAlignment="1" applyProtection="1">
      <alignment horizontal="right" vertical="center"/>
      <protection locked="0"/>
    </xf>
    <xf numFmtId="41" fontId="0" fillId="0" borderId="39" xfId="0" applyNumberFormat="1" applyFill="1" applyBorder="1" applyAlignment="1" applyProtection="1">
      <alignment/>
      <protection locked="0"/>
    </xf>
    <xf numFmtId="170" fontId="4" fillId="0" borderId="25" xfId="1111" applyNumberFormat="1" applyFill="1" applyBorder="1" applyAlignment="1" applyProtection="1">
      <alignment/>
      <protection locked="0"/>
    </xf>
    <xf numFmtId="193" fontId="24" fillId="0" borderId="39" xfId="0" applyNumberFormat="1" applyFont="1" applyFill="1" applyBorder="1" applyAlignment="1" applyProtection="1">
      <alignment horizontal="center"/>
      <protection locked="0"/>
    </xf>
    <xf numFmtId="10" fontId="4" fillId="0" borderId="39" xfId="0" applyNumberFormat="1" applyFont="1" applyFill="1" applyBorder="1" applyAlignment="1" applyProtection="1">
      <alignment/>
      <protection locked="0"/>
    </xf>
    <xf numFmtId="41" fontId="4" fillId="0" borderId="39" xfId="1157" applyNumberFormat="1" applyFont="1" applyFill="1" applyBorder="1" applyAlignment="1" applyProtection="1">
      <alignment/>
      <protection locked="0"/>
    </xf>
    <xf numFmtId="41" fontId="4" fillId="0" borderId="40" xfId="1157" applyNumberFormat="1" applyFill="1" applyBorder="1" applyAlignment="1" applyProtection="1">
      <alignment/>
      <protection locked="0"/>
    </xf>
    <xf numFmtId="193" fontId="24" fillId="0" borderId="0" xfId="0" applyNumberFormat="1" applyFont="1" applyFill="1" applyBorder="1" applyAlignment="1" applyProtection="1">
      <alignment horizontal="center"/>
      <protection locked="0"/>
    </xf>
    <xf numFmtId="0" fontId="4" fillId="0" borderId="20" xfId="1302" applyFill="1" applyBorder="1" applyAlignment="1" applyProtection="1">
      <alignment horizontal="center"/>
      <protection locked="0"/>
    </xf>
    <xf numFmtId="0" fontId="4" fillId="0" borderId="20" xfId="1302" applyFill="1" applyBorder="1" applyAlignment="1" applyProtection="1">
      <alignment/>
      <protection locked="0"/>
    </xf>
    <xf numFmtId="0" fontId="4" fillId="0" borderId="20" xfId="1302" applyFill="1" applyBorder="1" applyAlignment="1" applyProtection="1">
      <alignment horizontal="right"/>
      <protection locked="0"/>
    </xf>
    <xf numFmtId="41" fontId="4" fillId="0" borderId="37" xfId="1111" applyNumberFormat="1" applyFill="1" applyBorder="1" applyAlignment="1" applyProtection="1">
      <alignment/>
      <protection locked="0"/>
    </xf>
    <xf numFmtId="193" fontId="24" fillId="0" borderId="20" xfId="0" applyNumberFormat="1" applyFont="1" applyFill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/>
      <protection locked="0"/>
    </xf>
    <xf numFmtId="41" fontId="4" fillId="0" borderId="20" xfId="1302" applyNumberFormat="1" applyFill="1" applyBorder="1" applyAlignment="1" applyProtection="1">
      <alignment/>
      <protection locked="0"/>
    </xf>
    <xf numFmtId="41" fontId="24" fillId="0" borderId="28" xfId="1111" applyNumberFormat="1" applyFont="1" applyFill="1" applyBorder="1" applyAlignment="1" applyProtection="1">
      <alignment horizontal="left" indent="1"/>
      <protection locked="0"/>
    </xf>
    <xf numFmtId="41" fontId="4" fillId="0" borderId="0" xfId="1302" applyNumberFormat="1" applyFill="1" applyBorder="1" applyAlignment="1" applyProtection="1">
      <alignment/>
      <protection locked="0"/>
    </xf>
    <xf numFmtId="170" fontId="4" fillId="0" borderId="0" xfId="1111" applyNumberFormat="1" applyFill="1" applyBorder="1" applyAlignment="1" applyProtection="1">
      <alignment/>
      <protection locked="0"/>
    </xf>
    <xf numFmtId="10" fontId="24" fillId="0" borderId="0" xfId="0" applyNumberFormat="1" applyFont="1" applyFill="1" applyBorder="1" applyAlignment="1" applyProtection="1">
      <alignment horizontal="right"/>
      <protection locked="0"/>
    </xf>
    <xf numFmtId="170" fontId="4" fillId="0" borderId="0" xfId="1302" applyNumberFormat="1" applyFill="1" applyProtection="1">
      <alignment/>
      <protection locked="0"/>
    </xf>
    <xf numFmtId="41" fontId="4" fillId="0" borderId="20" xfId="1157" applyNumberFormat="1" applyFill="1" applyBorder="1" applyAlignment="1" applyProtection="1">
      <alignment/>
      <protection locked="0"/>
    </xf>
    <xf numFmtId="41" fontId="4" fillId="0" borderId="0" xfId="1111" applyNumberFormat="1" applyFont="1" applyFill="1" applyBorder="1" applyAlignment="1" applyProtection="1">
      <alignment/>
      <protection locked="0"/>
    </xf>
    <xf numFmtId="170" fontId="4" fillId="0" borderId="0" xfId="1111" applyNumberFormat="1" applyFont="1" applyFill="1" applyBorder="1" applyAlignment="1" applyProtection="1">
      <alignment/>
      <protection locked="0"/>
    </xf>
    <xf numFmtId="0" fontId="4" fillId="0" borderId="20" xfId="1302" applyFill="1" applyBorder="1" applyAlignment="1" applyProtection="1" quotePrefix="1">
      <alignment horizontal="center"/>
      <protection locked="0"/>
    </xf>
    <xf numFmtId="193" fontId="24" fillId="0" borderId="0" xfId="0" applyNumberFormat="1" applyFont="1" applyFill="1" applyBorder="1" applyAlignment="1" applyProtection="1">
      <alignment/>
      <protection locked="0"/>
    </xf>
    <xf numFmtId="41" fontId="4" fillId="0" borderId="28" xfId="1111" applyNumberFormat="1" applyFont="1" applyFill="1" applyBorder="1" applyAlignment="1" applyProtection="1">
      <alignment/>
      <protection locked="0"/>
    </xf>
    <xf numFmtId="41" fontId="4" fillId="0" borderId="0" xfId="1111" applyNumberFormat="1" applyFill="1" applyBorder="1" applyAlignment="1" applyProtection="1">
      <alignment horizontal="right" vertical="center"/>
      <protection locked="0"/>
    </xf>
    <xf numFmtId="193" fontId="24" fillId="0" borderId="20" xfId="0" applyNumberFormat="1" applyFont="1" applyFill="1" applyBorder="1" applyAlignment="1" applyProtection="1">
      <alignment/>
      <protection locked="0"/>
    </xf>
    <xf numFmtId="0" fontId="4" fillId="0" borderId="0" xfId="1302" applyFont="1" applyFill="1" applyBorder="1" applyAlignment="1" applyProtection="1" quotePrefix="1">
      <alignment horizontal="center"/>
      <protection locked="0"/>
    </xf>
    <xf numFmtId="41" fontId="0" fillId="0" borderId="12" xfId="0" applyNumberFormat="1" applyFill="1" applyBorder="1" applyAlignment="1" applyProtection="1">
      <alignment/>
      <protection locked="0"/>
    </xf>
    <xf numFmtId="41" fontId="0" fillId="0" borderId="0" xfId="0" applyNumberFormat="1" applyFill="1" applyAlignment="1" applyProtection="1">
      <alignment/>
      <protection locked="0"/>
    </xf>
    <xf numFmtId="0" fontId="4" fillId="0" borderId="39" xfId="1302" applyFill="1" applyBorder="1" applyAlignment="1" applyProtection="1" quotePrefix="1">
      <alignment horizontal="center"/>
      <protection locked="0"/>
    </xf>
    <xf numFmtId="0" fontId="4" fillId="0" borderId="39" xfId="1302" applyFill="1" applyBorder="1" applyAlignment="1" applyProtection="1">
      <alignment horizontal="right"/>
      <protection locked="0"/>
    </xf>
    <xf numFmtId="41" fontId="4" fillId="0" borderId="25" xfId="1111" applyNumberFormat="1" applyFill="1" applyBorder="1" applyAlignment="1" applyProtection="1">
      <alignment/>
      <protection locked="0"/>
    </xf>
    <xf numFmtId="10" fontId="24" fillId="0" borderId="39" xfId="0" applyNumberFormat="1" applyFont="1" applyFill="1" applyBorder="1" applyAlignment="1" applyProtection="1">
      <alignment/>
      <protection locked="0"/>
    </xf>
    <xf numFmtId="41" fontId="4" fillId="0" borderId="39" xfId="1157" applyNumberFormat="1" applyFill="1" applyBorder="1" applyAlignment="1" applyProtection="1">
      <alignment/>
      <protection locked="0"/>
    </xf>
    <xf numFmtId="41" fontId="0" fillId="0" borderId="20" xfId="0" applyNumberFormat="1" applyFill="1" applyBorder="1" applyAlignment="1" applyProtection="1">
      <alignment horizontal="center"/>
      <protection locked="0"/>
    </xf>
    <xf numFmtId="41" fontId="4" fillId="0" borderId="20" xfId="1111" applyNumberFormat="1" applyFill="1" applyBorder="1" applyAlignment="1" applyProtection="1">
      <alignment horizontal="center"/>
      <protection locked="0"/>
    </xf>
    <xf numFmtId="41" fontId="0" fillId="0" borderId="38" xfId="0" applyNumberFormat="1" applyFill="1" applyBorder="1" applyAlignment="1" applyProtection="1">
      <alignment/>
      <protection locked="0"/>
    </xf>
    <xf numFmtId="41" fontId="0" fillId="0" borderId="12" xfId="1301" applyNumberFormat="1" applyFont="1" applyFill="1" applyBorder="1" applyAlignment="1" applyProtection="1">
      <alignment/>
      <protection locked="0"/>
    </xf>
    <xf numFmtId="41" fontId="24" fillId="0" borderId="0" xfId="1111" applyNumberFormat="1" applyFont="1" applyFill="1" applyBorder="1" applyAlignment="1" applyProtection="1">
      <alignment horizontal="left" indent="1"/>
      <protection locked="0"/>
    </xf>
    <xf numFmtId="41" fontId="0" fillId="0" borderId="0" xfId="1301" applyNumberFormat="1" applyFont="1" applyFill="1" applyBorder="1" applyAlignment="1" applyProtection="1">
      <alignment horizontal="center"/>
      <protection locked="0"/>
    </xf>
    <xf numFmtId="41" fontId="0" fillId="0" borderId="0" xfId="1301" applyNumberFormat="1" applyFont="1" applyFill="1" applyBorder="1" applyAlignment="1" applyProtection="1">
      <alignment/>
      <protection locked="0"/>
    </xf>
    <xf numFmtId="0" fontId="4" fillId="0" borderId="0" xfId="1301" applyNumberFormat="1" applyFont="1" applyFill="1" applyBorder="1" applyAlignment="1" applyProtection="1">
      <alignment/>
      <protection locked="0"/>
    </xf>
    <xf numFmtId="10" fontId="4" fillId="0" borderId="0" xfId="1301" applyNumberFormat="1" applyFont="1" applyFill="1" applyBorder="1" applyAlignment="1" applyProtection="1">
      <alignment/>
      <protection locked="0"/>
    </xf>
    <xf numFmtId="0" fontId="4" fillId="0" borderId="39" xfId="1302" applyFill="1" applyBorder="1" applyAlignment="1" applyProtection="1">
      <alignment horizontal="center"/>
      <protection locked="0"/>
    </xf>
    <xf numFmtId="41" fontId="0" fillId="0" borderId="40" xfId="1301" applyNumberFormat="1" applyFont="1" applyFill="1" applyBorder="1" applyAlignment="1" applyProtection="1">
      <alignment/>
      <protection locked="0"/>
    </xf>
    <xf numFmtId="41" fontId="4" fillId="0" borderId="39" xfId="1111" applyNumberFormat="1" applyFont="1" applyFill="1" applyBorder="1" applyAlignment="1" applyProtection="1">
      <alignment/>
      <protection locked="0"/>
    </xf>
    <xf numFmtId="193" fontId="0" fillId="0" borderId="39" xfId="0" applyNumberFormat="1" applyFont="1" applyFill="1" applyBorder="1" applyAlignment="1" applyProtection="1">
      <alignment horizontal="center"/>
      <protection locked="0"/>
    </xf>
    <xf numFmtId="41" fontId="0" fillId="0" borderId="39" xfId="1301" applyNumberFormat="1" applyFont="1" applyFill="1" applyBorder="1" applyAlignment="1" applyProtection="1">
      <alignment/>
      <protection locked="0"/>
    </xf>
    <xf numFmtId="10" fontId="4" fillId="0" borderId="39" xfId="1301" applyNumberFormat="1" applyFont="1" applyFill="1" applyBorder="1" applyAlignment="1" applyProtection="1">
      <alignment/>
      <protection locked="0"/>
    </xf>
    <xf numFmtId="41" fontId="0" fillId="0" borderId="38" xfId="1301" applyNumberFormat="1" applyFont="1" applyFill="1" applyBorder="1" applyAlignment="1" applyProtection="1">
      <alignment/>
      <protection locked="0"/>
    </xf>
    <xf numFmtId="41" fontId="4" fillId="0" borderId="20" xfId="1111" applyNumberFormat="1" applyFont="1" applyFill="1" applyBorder="1" applyAlignment="1" applyProtection="1">
      <alignment/>
      <protection locked="0"/>
    </xf>
    <xf numFmtId="41" fontId="0" fillId="0" borderId="20" xfId="1301" applyNumberFormat="1" applyFont="1" applyFill="1" applyBorder="1" applyAlignment="1" applyProtection="1">
      <alignment/>
      <protection locked="0"/>
    </xf>
    <xf numFmtId="10" fontId="4" fillId="0" borderId="20" xfId="1301" applyNumberFormat="1" applyFont="1" applyFill="1" applyBorder="1" applyAlignment="1" applyProtection="1">
      <alignment/>
      <protection locked="0"/>
    </xf>
    <xf numFmtId="0" fontId="4" fillId="0" borderId="20" xfId="1302" applyFont="1" applyFill="1" applyBorder="1" applyAlignment="1" applyProtection="1" quotePrefix="1">
      <alignment horizontal="center"/>
      <protection locked="0"/>
    </xf>
    <xf numFmtId="41" fontId="4" fillId="0" borderId="37" xfId="1111" applyNumberFormat="1" applyFont="1" applyFill="1" applyBorder="1" applyAlignment="1" applyProtection="1">
      <alignment/>
      <protection locked="0"/>
    </xf>
    <xf numFmtId="41" fontId="4" fillId="0" borderId="12" xfId="1111" applyNumberFormat="1" applyFill="1" applyBorder="1" applyAlignment="1" applyProtection="1">
      <alignment/>
      <protection locked="0"/>
    </xf>
    <xf numFmtId="170" fontId="4" fillId="0" borderId="0" xfId="0" applyNumberFormat="1" applyFont="1" applyFill="1" applyBorder="1" applyAlignment="1" applyProtection="1">
      <alignment/>
      <protection locked="0"/>
    </xf>
    <xf numFmtId="193" fontId="24" fillId="0" borderId="0" xfId="0" applyNumberFormat="1" applyFont="1" applyFill="1" applyBorder="1" applyAlignment="1" applyProtection="1">
      <alignment horizontal="right"/>
      <protection locked="0"/>
    </xf>
    <xf numFmtId="41" fontId="4" fillId="0" borderId="0" xfId="1323" applyNumberFormat="1" applyFont="1" applyFill="1" applyBorder="1" applyAlignment="1" applyProtection="1">
      <alignment/>
      <protection locked="0"/>
    </xf>
    <xf numFmtId="0" fontId="4" fillId="0" borderId="39" xfId="1302" applyFont="1" applyFill="1" applyBorder="1" applyAlignment="1" applyProtection="1" quotePrefix="1">
      <alignment horizontal="center"/>
      <protection locked="0"/>
    </xf>
    <xf numFmtId="41" fontId="4" fillId="0" borderId="25" xfId="1111" applyNumberFormat="1" applyFont="1" applyFill="1" applyBorder="1" applyAlignment="1" applyProtection="1">
      <alignment/>
      <protection locked="0"/>
    </xf>
    <xf numFmtId="41" fontId="4" fillId="0" borderId="39" xfId="1323" applyNumberFormat="1" applyFont="1" applyFill="1" applyBorder="1" applyAlignment="1" applyProtection="1">
      <alignment/>
      <protection locked="0"/>
    </xf>
    <xf numFmtId="0" fontId="4" fillId="0" borderId="41" xfId="1302" applyFill="1" applyBorder="1" applyAlignment="1" applyProtection="1">
      <alignment horizontal="center"/>
      <protection locked="0"/>
    </xf>
    <xf numFmtId="0" fontId="4" fillId="0" borderId="41" xfId="1302" applyFont="1" applyFill="1" applyBorder="1" applyAlignment="1" applyProtection="1" quotePrefix="1">
      <alignment horizontal="center"/>
      <protection locked="0"/>
    </xf>
    <xf numFmtId="0" fontId="4" fillId="0" borderId="41" xfId="1302" applyFill="1" applyBorder="1" applyAlignment="1" applyProtection="1">
      <alignment horizontal="right"/>
      <protection locked="0"/>
    </xf>
    <xf numFmtId="41" fontId="4" fillId="0" borderId="41" xfId="1111" applyNumberFormat="1" applyFill="1" applyBorder="1" applyAlignment="1" applyProtection="1">
      <alignment/>
      <protection locked="0"/>
    </xf>
    <xf numFmtId="41" fontId="0" fillId="0" borderId="26" xfId="1301" applyNumberFormat="1" applyFont="1" applyFill="1" applyBorder="1" applyAlignment="1" applyProtection="1">
      <alignment/>
      <protection locked="0"/>
    </xf>
    <xf numFmtId="41" fontId="4" fillId="0" borderId="42" xfId="1111" applyNumberFormat="1" applyFont="1" applyFill="1" applyBorder="1" applyAlignment="1" applyProtection="1">
      <alignment/>
      <protection locked="0"/>
    </xf>
    <xf numFmtId="41" fontId="4" fillId="0" borderId="41" xfId="1323" applyNumberFormat="1" applyFont="1" applyFill="1" applyBorder="1" applyAlignment="1" applyProtection="1">
      <alignment/>
      <protection locked="0"/>
    </xf>
    <xf numFmtId="193" fontId="24" fillId="0" borderId="41" xfId="0" applyNumberFormat="1" applyFont="1" applyFill="1" applyBorder="1" applyAlignment="1" applyProtection="1">
      <alignment horizontal="center"/>
      <protection locked="0"/>
    </xf>
    <xf numFmtId="41" fontId="0" fillId="0" borderId="41" xfId="1301" applyNumberFormat="1" applyFont="1" applyFill="1" applyBorder="1" applyAlignment="1" applyProtection="1">
      <alignment/>
      <protection locked="0"/>
    </xf>
    <xf numFmtId="10" fontId="4" fillId="0" borderId="41" xfId="0" applyNumberFormat="1" applyFont="1" applyFill="1" applyBorder="1" applyAlignment="1" applyProtection="1">
      <alignment/>
      <protection locked="0"/>
    </xf>
    <xf numFmtId="41" fontId="4" fillId="0" borderId="41" xfId="1157" applyNumberFormat="1" applyFont="1" applyFill="1" applyBorder="1" applyAlignment="1" applyProtection="1">
      <alignment/>
      <protection locked="0"/>
    </xf>
    <xf numFmtId="41" fontId="4" fillId="0" borderId="41" xfId="1157" applyNumberFormat="1" applyFill="1" applyBorder="1" applyAlignment="1" applyProtection="1">
      <alignment/>
      <protection locked="0"/>
    </xf>
    <xf numFmtId="42" fontId="4" fillId="0" borderId="0" xfId="0" applyNumberFormat="1" applyFont="1" applyFill="1" applyBorder="1" applyAlignment="1" applyProtection="1">
      <alignment/>
      <protection locked="0"/>
    </xf>
    <xf numFmtId="179" fontId="58" fillId="0" borderId="0" xfId="0" applyFont="1" applyFill="1" applyAlignment="1">
      <alignment horizontal="left"/>
    </xf>
    <xf numFmtId="41" fontId="4" fillId="0" borderId="28" xfId="1111" applyNumberFormat="1" applyFont="1" applyFill="1" applyBorder="1" applyAlignment="1" applyProtection="1">
      <alignment horizontal="right"/>
      <protection locked="0"/>
    </xf>
    <xf numFmtId="6" fontId="4" fillId="0" borderId="0" xfId="1111" applyNumberFormat="1" applyFill="1" applyBorder="1" applyAlignment="1" applyProtection="1">
      <alignment/>
      <protection locked="0"/>
    </xf>
    <xf numFmtId="41" fontId="4" fillId="0" borderId="37" xfId="1111" applyNumberFormat="1" applyFont="1" applyFill="1" applyBorder="1" applyAlignment="1" applyProtection="1">
      <alignment horizontal="right"/>
      <protection locked="0"/>
    </xf>
    <xf numFmtId="0" fontId="35" fillId="0" borderId="0" xfId="1302" applyFont="1" applyFill="1" applyBorder="1" applyAlignment="1" applyProtection="1">
      <alignment horizontal="right"/>
      <protection locked="0"/>
    </xf>
    <xf numFmtId="41" fontId="35" fillId="0" borderId="0" xfId="1111" applyNumberFormat="1" applyFont="1" applyFill="1" applyBorder="1" applyAlignment="1" applyProtection="1">
      <alignment/>
      <protection locked="0"/>
    </xf>
    <xf numFmtId="5" fontId="4" fillId="0" borderId="0" xfId="1111" applyNumberFormat="1" applyFont="1" applyFill="1" applyBorder="1" applyAlignment="1" applyProtection="1">
      <alignment/>
      <protection locked="0"/>
    </xf>
    <xf numFmtId="5" fontId="4" fillId="0" borderId="28" xfId="1111" applyNumberFormat="1" applyFont="1" applyFill="1" applyBorder="1" applyAlignment="1" applyProtection="1">
      <alignment horizontal="right"/>
      <protection locked="0"/>
    </xf>
    <xf numFmtId="3" fontId="4" fillId="0" borderId="0" xfId="1073" applyNumberFormat="1" applyFont="1" applyFill="1" applyAlignment="1" applyProtection="1">
      <alignment/>
      <protection locked="0"/>
    </xf>
    <xf numFmtId="5" fontId="4" fillId="0" borderId="39" xfId="1111" applyNumberFormat="1" applyFont="1" applyFill="1" applyBorder="1" applyAlignment="1" applyProtection="1">
      <alignment/>
      <protection locked="0"/>
    </xf>
    <xf numFmtId="5" fontId="4" fillId="0" borderId="25" xfId="1111" applyNumberFormat="1" applyFont="1" applyFill="1" applyBorder="1" applyAlignment="1" applyProtection="1">
      <alignment horizontal="right"/>
      <protection locked="0"/>
    </xf>
    <xf numFmtId="10" fontId="24" fillId="0" borderId="39" xfId="0" applyNumberFormat="1" applyFont="1" applyFill="1" applyBorder="1" applyAlignment="1" applyProtection="1">
      <alignment horizontal="right"/>
      <protection locked="0"/>
    </xf>
    <xf numFmtId="0" fontId="35" fillId="0" borderId="0" xfId="1302" applyFont="1" applyFill="1" applyBorder="1" applyAlignment="1" applyProtection="1">
      <alignment horizontal="left"/>
      <protection locked="0"/>
    </xf>
    <xf numFmtId="6" fontId="4" fillId="0" borderId="39" xfId="1111" applyNumberFormat="1" applyFill="1" applyBorder="1" applyAlignment="1" applyProtection="1">
      <alignment/>
      <protection locked="0"/>
    </xf>
    <xf numFmtId="41" fontId="4" fillId="0" borderId="25" xfId="1111" applyNumberFormat="1" applyFont="1" applyFill="1" applyBorder="1" applyAlignment="1" applyProtection="1">
      <alignment horizontal="right"/>
      <protection locked="0"/>
    </xf>
    <xf numFmtId="16" fontId="4" fillId="0" borderId="0" xfId="1302" applyNumberFormat="1" applyFill="1" applyProtection="1">
      <alignment/>
      <protection locked="0"/>
    </xf>
    <xf numFmtId="17" fontId="4" fillId="0" borderId="0" xfId="1302" applyNumberFormat="1" applyFill="1" applyProtection="1">
      <alignment/>
      <protection locked="0"/>
    </xf>
    <xf numFmtId="0" fontId="4" fillId="0" borderId="0" xfId="1302" applyFont="1" applyFill="1" applyBorder="1" applyAlignment="1" applyProtection="1">
      <alignment horizontal="right"/>
      <protection locked="0"/>
    </xf>
    <xf numFmtId="5" fontId="4" fillId="0" borderId="0" xfId="1111" applyNumberFormat="1" applyFill="1" applyBorder="1" applyAlignment="1" applyProtection="1">
      <alignment/>
      <protection locked="0"/>
    </xf>
    <xf numFmtId="41" fontId="4" fillId="0" borderId="0" xfId="1111" applyNumberFormat="1" applyFont="1" applyFill="1" applyBorder="1" applyAlignment="1" applyProtection="1">
      <alignment horizontal="right"/>
      <protection locked="0"/>
    </xf>
    <xf numFmtId="41" fontId="4" fillId="0" borderId="39" xfId="1111" applyNumberFormat="1" applyFont="1" applyFill="1" applyBorder="1" applyAlignment="1" applyProtection="1">
      <alignment horizontal="right"/>
      <protection locked="0"/>
    </xf>
    <xf numFmtId="179" fontId="35" fillId="0" borderId="0" xfId="0" applyFont="1" applyFill="1" applyAlignment="1">
      <alignment horizontal="left"/>
    </xf>
    <xf numFmtId="0" fontId="4" fillId="0" borderId="43" xfId="1302" applyFill="1" applyBorder="1" applyAlignment="1" applyProtection="1">
      <alignment horizontal="right"/>
      <protection locked="0"/>
    </xf>
    <xf numFmtId="17" fontId="4" fillId="0" borderId="18" xfId="1111" applyNumberFormat="1" applyFill="1" applyBorder="1" applyAlignment="1" applyProtection="1">
      <alignment/>
      <protection locked="0"/>
    </xf>
    <xf numFmtId="17" fontId="4" fillId="0" borderId="18" xfId="1111" applyNumberFormat="1" applyFill="1" applyBorder="1" applyAlignment="1" applyProtection="1">
      <alignment horizontal="center"/>
      <protection locked="0"/>
    </xf>
    <xf numFmtId="0" fontId="0" fillId="0" borderId="18" xfId="0" applyNumberFormat="1" applyFill="1" applyBorder="1" applyAlignment="1" applyProtection="1">
      <alignment/>
      <protection locked="0"/>
    </xf>
    <xf numFmtId="41" fontId="4" fillId="0" borderId="18" xfId="1302" applyNumberFormat="1" applyFill="1" applyBorder="1" applyAlignment="1" applyProtection="1">
      <alignment/>
      <protection locked="0"/>
    </xf>
    <xf numFmtId="193" fontId="24" fillId="0" borderId="18" xfId="0" applyNumberFormat="1" applyFont="1" applyFill="1" applyBorder="1" applyAlignment="1" applyProtection="1">
      <alignment horizontal="center"/>
      <protection locked="0"/>
    </xf>
    <xf numFmtId="41" fontId="0" fillId="0" borderId="18" xfId="0" applyNumberFormat="1" applyFill="1" applyBorder="1" applyAlignment="1" applyProtection="1">
      <alignment/>
      <protection locked="0"/>
    </xf>
    <xf numFmtId="41" fontId="35" fillId="0" borderId="4" xfId="1302" applyNumberFormat="1" applyFont="1" applyFill="1" applyBorder="1" applyAlignment="1" applyProtection="1">
      <alignment horizontal="centerContinuous"/>
      <protection locked="0"/>
    </xf>
    <xf numFmtId="41" fontId="53" fillId="0" borderId="4" xfId="1302" applyNumberFormat="1" applyFont="1" applyFill="1" applyBorder="1" applyAlignment="1" applyProtection="1">
      <alignment horizontal="centerContinuous"/>
      <protection locked="0"/>
    </xf>
    <xf numFmtId="0" fontId="4" fillId="0" borderId="44" xfId="1302" applyFill="1" applyBorder="1" applyProtection="1">
      <alignment/>
      <protection locked="0"/>
    </xf>
    <xf numFmtId="0" fontId="35" fillId="0" borderId="45" xfId="1302" applyFont="1" applyFill="1" applyBorder="1" applyAlignment="1" applyProtection="1">
      <alignment horizontal="center"/>
      <protection locked="0"/>
    </xf>
    <xf numFmtId="17" fontId="35" fillId="0" borderId="17" xfId="1111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/>
      <protection locked="0"/>
    </xf>
    <xf numFmtId="41" fontId="35" fillId="0" borderId="17" xfId="1302" applyNumberFormat="1" applyFont="1" applyFill="1" applyBorder="1" applyAlignment="1" applyProtection="1">
      <alignment horizontal="centerContinuous"/>
      <protection locked="0"/>
    </xf>
    <xf numFmtId="0" fontId="35" fillId="0" borderId="46" xfId="1302" applyFont="1" applyFill="1" applyBorder="1" applyAlignment="1" applyProtection="1">
      <alignment horizontal="center"/>
      <protection locked="0"/>
    </xf>
    <xf numFmtId="0" fontId="4" fillId="0" borderId="47" xfId="1302" applyFill="1" applyBorder="1" applyAlignment="1" applyProtection="1">
      <alignment horizontal="right"/>
      <protection locked="0"/>
    </xf>
    <xf numFmtId="17" fontId="4" fillId="0" borderId="0" xfId="1111" applyNumberFormat="1" applyFill="1" applyBorder="1" applyAlignment="1" applyProtection="1">
      <alignment/>
      <protection locked="0"/>
    </xf>
    <xf numFmtId="17" fontId="4" fillId="0" borderId="0" xfId="1111" applyNumberFormat="1" applyFill="1" applyBorder="1" applyAlignment="1" applyProtection="1">
      <alignment horizontal="center"/>
      <protection locked="0"/>
    </xf>
    <xf numFmtId="41" fontId="44" fillId="0" borderId="0" xfId="1302" applyNumberFormat="1" applyFont="1" applyFill="1" applyBorder="1" applyAlignment="1" applyProtection="1">
      <alignment horizontal="centerContinuous"/>
      <protection locked="0"/>
    </xf>
    <xf numFmtId="0" fontId="4" fillId="0" borderId="48" xfId="1302" applyFill="1" applyBorder="1" applyProtection="1">
      <alignment/>
      <protection locked="0"/>
    </xf>
    <xf numFmtId="0" fontId="4" fillId="0" borderId="47" xfId="1302" applyFont="1" applyFill="1" applyBorder="1" applyAlignment="1" applyProtection="1">
      <alignment horizontal="left" indent="1"/>
      <protection locked="0"/>
    </xf>
    <xf numFmtId="194" fontId="4" fillId="0" borderId="0" xfId="1111" applyNumberFormat="1" applyFill="1" applyBorder="1" applyAlignment="1" applyProtection="1">
      <alignment horizontal="center"/>
      <protection locked="0"/>
    </xf>
    <xf numFmtId="41" fontId="4" fillId="0" borderId="0" xfId="1302" applyNumberFormat="1" applyFill="1" applyBorder="1" applyAlignment="1">
      <alignment/>
      <protection/>
    </xf>
    <xf numFmtId="193" fontId="0" fillId="0" borderId="0" xfId="0" applyNumberFormat="1" applyFont="1" applyFill="1" applyBorder="1" applyAlignment="1">
      <alignment horizontal="center"/>
    </xf>
    <xf numFmtId="41" fontId="0" fillId="0" borderId="0" xfId="0" applyNumberFormat="1" applyFill="1" applyBorder="1" applyAlignment="1">
      <alignment/>
    </xf>
    <xf numFmtId="37" fontId="4" fillId="0" borderId="0" xfId="1302" applyNumberFormat="1" applyFill="1" applyBorder="1" applyAlignment="1">
      <alignment/>
      <protection/>
    </xf>
    <xf numFmtId="3" fontId="4" fillId="0" borderId="48" xfId="1073" applyNumberFormat="1" applyFont="1" applyFill="1" applyBorder="1" applyAlignment="1" applyProtection="1">
      <alignment/>
      <protection/>
    </xf>
    <xf numFmtId="3" fontId="4" fillId="0" borderId="0" xfId="1302" applyNumberFormat="1" applyFill="1" applyBorder="1" applyProtection="1">
      <alignment/>
      <protection locked="0"/>
    </xf>
    <xf numFmtId="10" fontId="4" fillId="0" borderId="0" xfId="0" applyNumberFormat="1" applyFont="1" applyFill="1" applyBorder="1" applyAlignment="1">
      <alignment/>
    </xf>
    <xf numFmtId="0" fontId="4" fillId="0" borderId="49" xfId="1302" applyFont="1" applyFill="1" applyBorder="1" applyAlignment="1" applyProtection="1">
      <alignment horizontal="left" indent="1"/>
      <protection locked="0"/>
    </xf>
    <xf numFmtId="17" fontId="4" fillId="0" borderId="41" xfId="1111" applyNumberFormat="1" applyFill="1" applyBorder="1" applyAlignment="1" applyProtection="1">
      <alignment/>
      <protection locked="0"/>
    </xf>
    <xf numFmtId="194" fontId="4" fillId="0" borderId="41" xfId="1111" applyNumberFormat="1" applyFill="1" applyBorder="1" applyAlignment="1" applyProtection="1">
      <alignment horizontal="center"/>
      <protection locked="0"/>
    </xf>
    <xf numFmtId="0" fontId="0" fillId="0" borderId="41" xfId="0" applyNumberFormat="1" applyFill="1" applyBorder="1" applyAlignment="1" applyProtection="1">
      <alignment/>
      <protection locked="0"/>
    </xf>
    <xf numFmtId="41" fontId="4" fillId="0" borderId="41" xfId="1302" applyNumberFormat="1" applyFill="1" applyBorder="1" applyAlignment="1">
      <alignment/>
      <protection/>
    </xf>
    <xf numFmtId="41" fontId="0" fillId="0" borderId="41" xfId="0" applyNumberFormat="1" applyFill="1" applyBorder="1" applyAlignment="1" applyProtection="1">
      <alignment/>
      <protection locked="0"/>
    </xf>
    <xf numFmtId="37" fontId="4" fillId="0" borderId="41" xfId="1302" applyNumberFormat="1" applyFill="1" applyBorder="1" applyAlignment="1">
      <alignment/>
      <protection/>
    </xf>
    <xf numFmtId="3" fontId="4" fillId="0" borderId="50" xfId="1073" applyNumberFormat="1" applyFont="1" applyFill="1" applyBorder="1" applyAlignment="1" applyProtection="1">
      <alignment/>
      <protection/>
    </xf>
    <xf numFmtId="17" fontId="4" fillId="0" borderId="0" xfId="1111" applyNumberFormat="1" applyFont="1" applyFill="1" applyBorder="1" applyAlignment="1" applyProtection="1">
      <alignment/>
      <protection locked="0"/>
    </xf>
    <xf numFmtId="194" fontId="4" fillId="0" borderId="0" xfId="1111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41" fontId="4" fillId="0" borderId="0" xfId="1302" applyNumberFormat="1" applyFont="1" applyFill="1" applyBorder="1" applyAlignment="1">
      <alignment/>
      <protection/>
    </xf>
    <xf numFmtId="41" fontId="0" fillId="0" borderId="0" xfId="0" applyNumberFormat="1" applyFont="1" applyFill="1" applyBorder="1" applyAlignment="1" applyProtection="1">
      <alignment/>
      <protection locked="0"/>
    </xf>
    <xf numFmtId="37" fontId="4" fillId="0" borderId="0" xfId="1302" applyNumberFormat="1" applyFont="1" applyFill="1" applyBorder="1" applyAlignment="1">
      <alignment/>
      <protection/>
    </xf>
    <xf numFmtId="3" fontId="4" fillId="0" borderId="0" xfId="1302" applyNumberFormat="1" applyFont="1" applyFill="1" applyBorder="1" applyProtection="1">
      <alignment/>
      <protection locked="0"/>
    </xf>
    <xf numFmtId="43" fontId="4" fillId="0" borderId="0" xfId="1302" applyNumberFormat="1" applyFill="1" applyBorder="1" applyProtection="1">
      <alignment/>
      <protection locked="0"/>
    </xf>
    <xf numFmtId="0" fontId="4" fillId="0" borderId="45" xfId="1302" applyFill="1" applyBorder="1" applyAlignment="1" applyProtection="1">
      <alignment horizontal="center"/>
      <protection locked="0"/>
    </xf>
    <xf numFmtId="17" fontId="4" fillId="0" borderId="17" xfId="1111" applyNumberFormat="1" applyFill="1" applyBorder="1" applyAlignment="1" applyProtection="1">
      <alignment/>
      <protection locked="0"/>
    </xf>
    <xf numFmtId="17" fontId="4" fillId="0" borderId="17" xfId="1111" applyNumberFormat="1" applyFill="1" applyBorder="1" applyAlignment="1" applyProtection="1">
      <alignment horizontal="center"/>
      <protection locked="0"/>
    </xf>
    <xf numFmtId="41" fontId="4" fillId="0" borderId="17" xfId="1302" applyNumberFormat="1" applyFill="1" applyBorder="1" applyAlignment="1">
      <alignment/>
      <protection/>
    </xf>
    <xf numFmtId="193" fontId="24" fillId="0" borderId="17" xfId="0" applyNumberFormat="1" applyFont="1" applyFill="1" applyBorder="1" applyAlignment="1">
      <alignment horizontal="center"/>
    </xf>
    <xf numFmtId="41" fontId="0" fillId="0" borderId="17" xfId="0" applyNumberFormat="1" applyFill="1" applyBorder="1" applyAlignment="1" applyProtection="1">
      <alignment/>
      <protection locked="0"/>
    </xf>
    <xf numFmtId="10" fontId="4" fillId="0" borderId="17" xfId="1323" applyNumberFormat="1" applyFont="1" applyFill="1" applyBorder="1" applyAlignment="1">
      <alignment/>
    </xf>
    <xf numFmtId="41" fontId="4" fillId="0" borderId="17" xfId="1302" applyNumberFormat="1" applyFill="1" applyBorder="1" applyAlignment="1" applyProtection="1">
      <alignment/>
      <protection/>
    </xf>
    <xf numFmtId="0" fontId="4" fillId="0" borderId="51" xfId="1302" applyFill="1" applyBorder="1">
      <alignment/>
      <protection/>
    </xf>
    <xf numFmtId="0" fontId="4" fillId="0" borderId="18" xfId="1302" applyFill="1" applyBorder="1" applyAlignment="1" applyProtection="1">
      <alignment horizontal="center"/>
      <protection locked="0"/>
    </xf>
    <xf numFmtId="10" fontId="4" fillId="0" borderId="18" xfId="1323" applyNumberFormat="1" applyFont="1" applyFill="1" applyBorder="1" applyAlignment="1" applyProtection="1">
      <alignment/>
      <protection locked="0"/>
    </xf>
    <xf numFmtId="0" fontId="35" fillId="0" borderId="0" xfId="1302" applyFont="1" applyFill="1" applyBorder="1" applyAlignment="1" quotePrefix="1">
      <alignment horizontal="left" indent="1"/>
      <protection/>
    </xf>
    <xf numFmtId="170" fontId="4" fillId="0" borderId="0" xfId="1111" applyNumberFormat="1" applyFill="1" applyAlignment="1" applyProtection="1">
      <alignment/>
      <protection locked="0"/>
    </xf>
    <xf numFmtId="4" fontId="4" fillId="0" borderId="0" xfId="1073" applyFont="1" applyFill="1" applyAlignment="1" applyProtection="1">
      <alignment/>
      <protection locked="0"/>
    </xf>
    <xf numFmtId="0" fontId="4" fillId="0" borderId="0" xfId="1302" applyFill="1" applyAlignment="1" applyProtection="1">
      <alignment horizontal="left" indent="5"/>
      <protection locked="0"/>
    </xf>
    <xf numFmtId="0" fontId="4" fillId="0" borderId="0" xfId="1304" applyFill="1">
      <alignment/>
      <protection/>
    </xf>
    <xf numFmtId="0" fontId="58" fillId="0" borderId="0" xfId="0" applyNumberFormat="1" applyFont="1" applyFill="1" applyBorder="1" applyAlignment="1">
      <alignment horizontal="right"/>
    </xf>
    <xf numFmtId="0" fontId="58" fillId="0" borderId="0" xfId="0" applyNumberFormat="1" applyFont="1" applyFill="1" applyBorder="1" applyAlignment="1">
      <alignment/>
    </xf>
    <xf numFmtId="44" fontId="4" fillId="0" borderId="0" xfId="1073" applyNumberFormat="1" applyFont="1" applyAlignment="1">
      <alignment/>
    </xf>
    <xf numFmtId="44" fontId="4" fillId="0" borderId="0" xfId="1155" applyNumberFormat="1" applyAlignment="1">
      <alignment/>
    </xf>
    <xf numFmtId="171" fontId="4" fillId="0" borderId="0" xfId="1110" applyNumberFormat="1" applyFont="1" applyAlignment="1">
      <alignment/>
    </xf>
    <xf numFmtId="171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42" fontId="45" fillId="0" borderId="0" xfId="1110" applyNumberFormat="1" applyFont="1" applyFill="1" applyBorder="1" applyAlignment="1" applyProtection="1">
      <alignment/>
      <protection/>
    </xf>
    <xf numFmtId="42" fontId="45" fillId="0" borderId="18" xfId="1110" applyNumberFormat="1" applyFont="1" applyFill="1" applyBorder="1" applyAlignment="1" applyProtection="1">
      <alignment/>
      <protection/>
    </xf>
    <xf numFmtId="42" fontId="45" fillId="0" borderId="18" xfId="1110" applyNumberFormat="1" applyFont="1" applyFill="1" applyBorder="1" applyAlignment="1" applyProtection="1">
      <alignment/>
      <protection/>
    </xf>
    <xf numFmtId="42" fontId="45" fillId="0" borderId="0" xfId="1073" applyNumberFormat="1" applyFont="1" applyFill="1" applyBorder="1" applyAlignment="1" applyProtection="1">
      <alignment/>
      <protection/>
    </xf>
    <xf numFmtId="42" fontId="45" fillId="0" borderId="0" xfId="1110" applyNumberFormat="1" applyFont="1" applyFill="1" applyBorder="1" applyAlignment="1" applyProtection="1">
      <alignment/>
      <protection/>
    </xf>
    <xf numFmtId="10" fontId="45" fillId="0" borderId="17" xfId="1323" applyNumberFormat="1" applyFont="1" applyFill="1" applyBorder="1" applyAlignment="1" applyProtection="1">
      <alignment/>
      <protection/>
    </xf>
    <xf numFmtId="42" fontId="4" fillId="0" borderId="0" xfId="0" applyNumberFormat="1" applyFont="1" applyAlignment="1">
      <alignment/>
    </xf>
    <xf numFmtId="42" fontId="4" fillId="0" borderId="0" xfId="0" applyNumberFormat="1" applyFont="1" applyFill="1" applyAlignment="1">
      <alignment/>
    </xf>
    <xf numFmtId="177" fontId="4" fillId="0" borderId="0" xfId="1128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4" fillId="0" borderId="0" xfId="1303" applyFont="1" applyFill="1" applyAlignment="1">
      <alignment horizontal="center"/>
      <protection/>
    </xf>
  </cellXfs>
  <cellStyles count="1430">
    <cellStyle name="Normal" xfId="0"/>
    <cellStyle name="_x0013_" xfId="15"/>
    <cellStyle name="_09GRC Gas Transport For Review" xfId="16"/>
    <cellStyle name="_09GRC Gas Transport For Review_Book4" xfId="17"/>
    <cellStyle name="_x0013__16.07E Wild Horse Wind Expansionwrkingfile" xfId="18"/>
    <cellStyle name="_x0013__16.07E Wild Horse Wind Expansionwrkingfile SF" xfId="19"/>
    <cellStyle name="_x0013__16.37E Wild Horse Expansion DeferralRevwrkingfile SF" xfId="20"/>
    <cellStyle name="_4.06E Pass Throughs" xfId="21"/>
    <cellStyle name="_4.06E Pass Throughs 2" xfId="22"/>
    <cellStyle name="_4.06E Pass Throughs_04 07E Wild Horse Wind Expansion (C) (2)" xfId="23"/>
    <cellStyle name="_4.06E Pass Throughs_04 07E Wild Horse Wind Expansion (C) (2)_Adj Bench DR 3 for Initial Briefs (Electric)" xfId="24"/>
    <cellStyle name="_4.06E Pass Throughs_04 07E Wild Horse Wind Expansion (C) (2)_Electric Rev Req Model (2009 GRC) " xfId="25"/>
    <cellStyle name="_4.06E Pass Throughs_04 07E Wild Horse Wind Expansion (C) (2)_Electric Rev Req Model (2009 GRC) Rebuttal" xfId="26"/>
    <cellStyle name="_4.06E Pass Throughs_04 07E Wild Horse Wind Expansion (C) (2)_Electric Rev Req Model (2009 GRC) Rebuttal REmoval of New  WH Solar AdjustMI" xfId="27"/>
    <cellStyle name="_4.06E Pass Throughs_04 07E Wild Horse Wind Expansion (C) (2)_Electric Rev Req Model (2009 GRC) Revised 01-18-2010" xfId="28"/>
    <cellStyle name="_4.06E Pass Throughs_04 07E Wild Horse Wind Expansion (C) (2)_Final Order Electric EXHIBIT A-1" xfId="29"/>
    <cellStyle name="_4.06E Pass Throughs_04 07E Wild Horse Wind Expansion (C) (2)_TENASKA REGULATORY ASSET" xfId="30"/>
    <cellStyle name="_4.06E Pass Throughs_16.37E Wild Horse Expansion DeferralRevwrkingfile SF" xfId="31"/>
    <cellStyle name="_4.06E Pass Throughs_2009 GRC Compl Filing - Exhibit D" xfId="32"/>
    <cellStyle name="_4.06E Pass Throughs_4 31 Regulatory Assets and Liabilities  7 06- Exhibit D" xfId="33"/>
    <cellStyle name="_4.06E Pass Throughs_4 32 Regulatory Assets and Liabilities  7 06- Exhibit D" xfId="34"/>
    <cellStyle name="_4.06E Pass Throughs_Book2" xfId="35"/>
    <cellStyle name="_4.06E Pass Throughs_Book2_Adj Bench DR 3 for Initial Briefs (Electric)" xfId="36"/>
    <cellStyle name="_4.06E Pass Throughs_Book2_Electric Rev Req Model (2009 GRC) Rebuttal" xfId="37"/>
    <cellStyle name="_4.06E Pass Throughs_Book2_Electric Rev Req Model (2009 GRC) Rebuttal REmoval of New  WH Solar AdjustMI" xfId="38"/>
    <cellStyle name="_4.06E Pass Throughs_Book2_Electric Rev Req Model (2009 GRC) Revised 01-18-2010" xfId="39"/>
    <cellStyle name="_4.06E Pass Throughs_Book2_Final Order Electric EXHIBIT A-1" xfId="40"/>
    <cellStyle name="_4.06E Pass Throughs_Book4" xfId="41"/>
    <cellStyle name="_4.06E Pass Throughs_Book9" xfId="42"/>
    <cellStyle name="_4.06E Pass Throughs_Power Costs - Comparison bx Rbtl-Staff-Jt-PC" xfId="43"/>
    <cellStyle name="_4.06E Pass Throughs_Power Costs - Comparison bx Rbtl-Staff-Jt-PC_Adj Bench DR 3 for Initial Briefs (Electric)" xfId="44"/>
    <cellStyle name="_4.06E Pass Throughs_Power Costs - Comparison bx Rbtl-Staff-Jt-PC_Electric Rev Req Model (2009 GRC) Rebuttal" xfId="45"/>
    <cellStyle name="_4.06E Pass Throughs_Power Costs - Comparison bx Rbtl-Staff-Jt-PC_Electric Rev Req Model (2009 GRC) Rebuttal REmoval of New  WH Solar AdjustMI" xfId="46"/>
    <cellStyle name="_4.06E Pass Throughs_Power Costs - Comparison bx Rbtl-Staff-Jt-PC_Electric Rev Req Model (2009 GRC) Revised 01-18-2010" xfId="47"/>
    <cellStyle name="_4.06E Pass Throughs_Power Costs - Comparison bx Rbtl-Staff-Jt-PC_Final Order Electric EXHIBIT A-1" xfId="48"/>
    <cellStyle name="_4.06E Pass Throughs_Rebuttal Power Costs" xfId="49"/>
    <cellStyle name="_4.06E Pass Throughs_Rebuttal Power Costs_Adj Bench DR 3 for Initial Briefs (Electric)" xfId="50"/>
    <cellStyle name="_4.06E Pass Throughs_Rebuttal Power Costs_Electric Rev Req Model (2009 GRC) Rebuttal" xfId="51"/>
    <cellStyle name="_4.06E Pass Throughs_Rebuttal Power Costs_Electric Rev Req Model (2009 GRC) Rebuttal REmoval of New  WH Solar AdjustMI" xfId="52"/>
    <cellStyle name="_4.06E Pass Throughs_Rebuttal Power Costs_Electric Rev Req Model (2009 GRC) Revised 01-18-2010" xfId="53"/>
    <cellStyle name="_4.06E Pass Throughs_Rebuttal Power Costs_Final Order Electric EXHIBIT A-1" xfId="54"/>
    <cellStyle name="_4.13E Montana Energy Tax" xfId="55"/>
    <cellStyle name="_4.13E Montana Energy Tax 2" xfId="56"/>
    <cellStyle name="_4.13E Montana Energy Tax_04 07E Wild Horse Wind Expansion (C) (2)" xfId="57"/>
    <cellStyle name="_4.13E Montana Energy Tax_04 07E Wild Horse Wind Expansion (C) (2)_Adj Bench DR 3 for Initial Briefs (Electric)" xfId="58"/>
    <cellStyle name="_4.13E Montana Energy Tax_04 07E Wild Horse Wind Expansion (C) (2)_Electric Rev Req Model (2009 GRC) " xfId="59"/>
    <cellStyle name="_4.13E Montana Energy Tax_04 07E Wild Horse Wind Expansion (C) (2)_Electric Rev Req Model (2009 GRC) Rebuttal" xfId="60"/>
    <cellStyle name="_4.13E Montana Energy Tax_04 07E Wild Horse Wind Expansion (C) (2)_Electric Rev Req Model (2009 GRC) Rebuttal REmoval of New  WH Solar AdjustMI" xfId="61"/>
    <cellStyle name="_4.13E Montana Energy Tax_04 07E Wild Horse Wind Expansion (C) (2)_Electric Rev Req Model (2009 GRC) Revised 01-18-2010" xfId="62"/>
    <cellStyle name="_4.13E Montana Energy Tax_04 07E Wild Horse Wind Expansion (C) (2)_Final Order Electric EXHIBIT A-1" xfId="63"/>
    <cellStyle name="_4.13E Montana Energy Tax_04 07E Wild Horse Wind Expansion (C) (2)_TENASKA REGULATORY ASSET" xfId="64"/>
    <cellStyle name="_4.13E Montana Energy Tax_16.37E Wild Horse Expansion DeferralRevwrkingfile SF" xfId="65"/>
    <cellStyle name="_4.13E Montana Energy Tax_2009 GRC Compl Filing - Exhibit D" xfId="66"/>
    <cellStyle name="_4.13E Montana Energy Tax_4 31 Regulatory Assets and Liabilities  7 06- Exhibit D" xfId="67"/>
    <cellStyle name="_4.13E Montana Energy Tax_4 32 Regulatory Assets and Liabilities  7 06- Exhibit D" xfId="68"/>
    <cellStyle name="_4.13E Montana Energy Tax_Book2" xfId="69"/>
    <cellStyle name="_4.13E Montana Energy Tax_Book2_Adj Bench DR 3 for Initial Briefs (Electric)" xfId="70"/>
    <cellStyle name="_4.13E Montana Energy Tax_Book2_Electric Rev Req Model (2009 GRC) Rebuttal" xfId="71"/>
    <cellStyle name="_4.13E Montana Energy Tax_Book2_Electric Rev Req Model (2009 GRC) Rebuttal REmoval of New  WH Solar AdjustMI" xfId="72"/>
    <cellStyle name="_4.13E Montana Energy Tax_Book2_Electric Rev Req Model (2009 GRC) Revised 01-18-2010" xfId="73"/>
    <cellStyle name="_4.13E Montana Energy Tax_Book2_Final Order Electric EXHIBIT A-1" xfId="74"/>
    <cellStyle name="_4.13E Montana Energy Tax_Book4" xfId="75"/>
    <cellStyle name="_4.13E Montana Energy Tax_Book9" xfId="76"/>
    <cellStyle name="_4.13E Montana Energy Tax_Power Costs - Comparison bx Rbtl-Staff-Jt-PC" xfId="77"/>
    <cellStyle name="_4.13E Montana Energy Tax_Power Costs - Comparison bx Rbtl-Staff-Jt-PC_Adj Bench DR 3 for Initial Briefs (Electric)" xfId="78"/>
    <cellStyle name="_4.13E Montana Energy Tax_Power Costs - Comparison bx Rbtl-Staff-Jt-PC_Electric Rev Req Model (2009 GRC) Rebuttal" xfId="79"/>
    <cellStyle name="_4.13E Montana Energy Tax_Power Costs - Comparison bx Rbtl-Staff-Jt-PC_Electric Rev Req Model (2009 GRC) Rebuttal REmoval of New  WH Solar AdjustMI" xfId="80"/>
    <cellStyle name="_4.13E Montana Energy Tax_Power Costs - Comparison bx Rbtl-Staff-Jt-PC_Electric Rev Req Model (2009 GRC) Revised 01-18-2010" xfId="81"/>
    <cellStyle name="_4.13E Montana Energy Tax_Power Costs - Comparison bx Rbtl-Staff-Jt-PC_Final Order Electric EXHIBIT A-1" xfId="82"/>
    <cellStyle name="_4.13E Montana Energy Tax_Rebuttal Power Costs" xfId="83"/>
    <cellStyle name="_4.13E Montana Energy Tax_Rebuttal Power Costs_Adj Bench DR 3 for Initial Briefs (Electric)" xfId="84"/>
    <cellStyle name="_4.13E Montana Energy Tax_Rebuttal Power Costs_Electric Rev Req Model (2009 GRC) Rebuttal" xfId="85"/>
    <cellStyle name="_4.13E Montana Energy Tax_Rebuttal Power Costs_Electric Rev Req Model (2009 GRC) Rebuttal REmoval of New  WH Solar AdjustMI" xfId="86"/>
    <cellStyle name="_4.13E Montana Energy Tax_Rebuttal Power Costs_Electric Rev Req Model (2009 GRC) Revised 01-18-2010" xfId="87"/>
    <cellStyle name="_4.13E Montana Energy Tax_Rebuttal Power Costs_Final Order Electric EXHIBIT A-1" xfId="88"/>
    <cellStyle name="_x0013__Adj Bench DR 3 for Initial Briefs (Electric)" xfId="89"/>
    <cellStyle name="_AURORA WIP" xfId="90"/>
    <cellStyle name="_Book1" xfId="91"/>
    <cellStyle name="_Book1 (2)" xfId="92"/>
    <cellStyle name="_Book1 (2) 2" xfId="93"/>
    <cellStyle name="_Book1 (2)_04 07E Wild Horse Wind Expansion (C) (2)" xfId="94"/>
    <cellStyle name="_Book1 (2)_04 07E Wild Horse Wind Expansion (C) (2)_Adj Bench DR 3 for Initial Briefs (Electric)" xfId="95"/>
    <cellStyle name="_Book1 (2)_04 07E Wild Horse Wind Expansion (C) (2)_Electric Rev Req Model (2009 GRC) " xfId="96"/>
    <cellStyle name="_Book1 (2)_04 07E Wild Horse Wind Expansion (C) (2)_Electric Rev Req Model (2009 GRC) Rebuttal" xfId="97"/>
    <cellStyle name="_Book1 (2)_04 07E Wild Horse Wind Expansion (C) (2)_Electric Rev Req Model (2009 GRC) Rebuttal REmoval of New  WH Solar AdjustMI" xfId="98"/>
    <cellStyle name="_Book1 (2)_04 07E Wild Horse Wind Expansion (C) (2)_Electric Rev Req Model (2009 GRC) Revised 01-18-2010" xfId="99"/>
    <cellStyle name="_Book1 (2)_04 07E Wild Horse Wind Expansion (C) (2)_Final Order Electric EXHIBIT A-1" xfId="100"/>
    <cellStyle name="_Book1 (2)_04 07E Wild Horse Wind Expansion (C) (2)_TENASKA REGULATORY ASSET" xfId="101"/>
    <cellStyle name="_Book1 (2)_16.37E Wild Horse Expansion DeferralRevwrkingfile SF" xfId="102"/>
    <cellStyle name="_Book1 (2)_2009 GRC Compl Filing - Exhibit D" xfId="103"/>
    <cellStyle name="_Book1 (2)_4 31 Regulatory Assets and Liabilities  7 06- Exhibit D" xfId="104"/>
    <cellStyle name="_Book1 (2)_4 32 Regulatory Assets and Liabilities  7 06- Exhibit D" xfId="105"/>
    <cellStyle name="_Book1 (2)_Book2" xfId="106"/>
    <cellStyle name="_Book1 (2)_Book2_Adj Bench DR 3 for Initial Briefs (Electric)" xfId="107"/>
    <cellStyle name="_Book1 (2)_Book2_Electric Rev Req Model (2009 GRC) Rebuttal" xfId="108"/>
    <cellStyle name="_Book1 (2)_Book2_Electric Rev Req Model (2009 GRC) Rebuttal REmoval of New  WH Solar AdjustMI" xfId="109"/>
    <cellStyle name="_Book1 (2)_Book2_Electric Rev Req Model (2009 GRC) Revised 01-18-2010" xfId="110"/>
    <cellStyle name="_Book1 (2)_Book2_Final Order Electric EXHIBIT A-1" xfId="111"/>
    <cellStyle name="_Book1 (2)_Book4" xfId="112"/>
    <cellStyle name="_Book1 (2)_Book9" xfId="113"/>
    <cellStyle name="_Book1 (2)_Power Costs - Comparison bx Rbtl-Staff-Jt-PC" xfId="114"/>
    <cellStyle name="_Book1 (2)_Power Costs - Comparison bx Rbtl-Staff-Jt-PC_Adj Bench DR 3 for Initial Briefs (Electric)" xfId="115"/>
    <cellStyle name="_Book1 (2)_Power Costs - Comparison bx Rbtl-Staff-Jt-PC_Electric Rev Req Model (2009 GRC) Rebuttal" xfId="116"/>
    <cellStyle name="_Book1 (2)_Power Costs - Comparison bx Rbtl-Staff-Jt-PC_Electric Rev Req Model (2009 GRC) Rebuttal REmoval of New  WH Solar AdjustMI" xfId="117"/>
    <cellStyle name="_Book1 (2)_Power Costs - Comparison bx Rbtl-Staff-Jt-PC_Electric Rev Req Model (2009 GRC) Revised 01-18-2010" xfId="118"/>
    <cellStyle name="_Book1 (2)_Power Costs - Comparison bx Rbtl-Staff-Jt-PC_Final Order Electric EXHIBIT A-1" xfId="119"/>
    <cellStyle name="_Book1 (2)_Rebuttal Power Costs" xfId="120"/>
    <cellStyle name="_Book1 (2)_Rebuttal Power Costs_Adj Bench DR 3 for Initial Briefs (Electric)" xfId="121"/>
    <cellStyle name="_Book1 (2)_Rebuttal Power Costs_Electric Rev Req Model (2009 GRC) Rebuttal" xfId="122"/>
    <cellStyle name="_Book1 (2)_Rebuttal Power Costs_Electric Rev Req Model (2009 GRC) Rebuttal REmoval of New  WH Solar AdjustMI" xfId="123"/>
    <cellStyle name="_Book1 (2)_Rebuttal Power Costs_Electric Rev Req Model (2009 GRC) Revised 01-18-2010" xfId="124"/>
    <cellStyle name="_Book1 (2)_Rebuttal Power Costs_Final Order Electric EXHIBIT A-1" xfId="125"/>
    <cellStyle name="_Book1 2" xfId="126"/>
    <cellStyle name="_Book1_(C) WHE Proforma with ITC cash grant 10 Yr Amort_for deferral_102809" xfId="127"/>
    <cellStyle name="_Book1_(C) WHE Proforma with ITC cash grant 10 Yr Amort_for deferral_102809_16.07E Wild Horse Wind Expansionwrkingfile" xfId="128"/>
    <cellStyle name="_Book1_(C) WHE Proforma with ITC cash grant 10 Yr Amort_for deferral_102809_16.07E Wild Horse Wind Expansionwrkingfile SF" xfId="129"/>
    <cellStyle name="_Book1_(C) WHE Proforma with ITC cash grant 10 Yr Amort_for deferral_102809_16.37E Wild Horse Expansion DeferralRevwrkingfile SF" xfId="130"/>
    <cellStyle name="_Book1_(C) WHE Proforma with ITC cash grant 10 Yr Amort_for rebuttal_120709" xfId="131"/>
    <cellStyle name="_Book1_04.07E Wild Horse Wind Expansion" xfId="132"/>
    <cellStyle name="_Book1_04.07E Wild Horse Wind Expansion_16.07E Wild Horse Wind Expansionwrkingfile" xfId="133"/>
    <cellStyle name="_Book1_04.07E Wild Horse Wind Expansion_16.07E Wild Horse Wind Expansionwrkingfile SF" xfId="134"/>
    <cellStyle name="_Book1_04.07E Wild Horse Wind Expansion_16.37E Wild Horse Expansion DeferralRevwrkingfile SF" xfId="135"/>
    <cellStyle name="_Book1_16.07E Wild Horse Wind Expansionwrkingfile" xfId="136"/>
    <cellStyle name="_Book1_16.07E Wild Horse Wind Expansionwrkingfile SF" xfId="137"/>
    <cellStyle name="_Book1_16.37E Wild Horse Expansion DeferralRevwrkingfile SF" xfId="138"/>
    <cellStyle name="_Book1_2009 GRC Compl Filing - Exhibit D" xfId="139"/>
    <cellStyle name="_Book1_4 31 Regulatory Assets and Liabilities  7 06- Exhibit D" xfId="140"/>
    <cellStyle name="_Book1_4 32 Regulatory Assets and Liabilities  7 06- Exhibit D" xfId="141"/>
    <cellStyle name="_Book1_Book2" xfId="142"/>
    <cellStyle name="_Book1_Book2_Adj Bench DR 3 for Initial Briefs (Electric)" xfId="143"/>
    <cellStyle name="_Book1_Book2_Electric Rev Req Model (2009 GRC) Rebuttal" xfId="144"/>
    <cellStyle name="_Book1_Book2_Electric Rev Req Model (2009 GRC) Rebuttal REmoval of New  WH Solar AdjustMI" xfId="145"/>
    <cellStyle name="_Book1_Book2_Electric Rev Req Model (2009 GRC) Revised 01-18-2010" xfId="146"/>
    <cellStyle name="_Book1_Book2_Final Order Electric EXHIBIT A-1" xfId="147"/>
    <cellStyle name="_Book1_Book4" xfId="148"/>
    <cellStyle name="_Book1_Book9" xfId="149"/>
    <cellStyle name="_Book1_Power Costs - Comparison bx Rbtl-Staff-Jt-PC" xfId="150"/>
    <cellStyle name="_Book1_Power Costs - Comparison bx Rbtl-Staff-Jt-PC_Adj Bench DR 3 for Initial Briefs (Electric)" xfId="151"/>
    <cellStyle name="_Book1_Power Costs - Comparison bx Rbtl-Staff-Jt-PC_Electric Rev Req Model (2009 GRC) Rebuttal" xfId="152"/>
    <cellStyle name="_Book1_Power Costs - Comparison bx Rbtl-Staff-Jt-PC_Electric Rev Req Model (2009 GRC) Rebuttal REmoval of New  WH Solar AdjustMI" xfId="153"/>
    <cellStyle name="_Book1_Power Costs - Comparison bx Rbtl-Staff-Jt-PC_Electric Rev Req Model (2009 GRC) Revised 01-18-2010" xfId="154"/>
    <cellStyle name="_Book1_Power Costs - Comparison bx Rbtl-Staff-Jt-PC_Final Order Electric EXHIBIT A-1" xfId="155"/>
    <cellStyle name="_Book1_Rebuttal Power Costs" xfId="156"/>
    <cellStyle name="_Book1_Rebuttal Power Costs_Adj Bench DR 3 for Initial Briefs (Electric)" xfId="157"/>
    <cellStyle name="_Book1_Rebuttal Power Costs_Electric Rev Req Model (2009 GRC) Rebuttal" xfId="158"/>
    <cellStyle name="_Book1_Rebuttal Power Costs_Electric Rev Req Model (2009 GRC) Rebuttal REmoval of New  WH Solar AdjustMI" xfId="159"/>
    <cellStyle name="_Book1_Rebuttal Power Costs_Electric Rev Req Model (2009 GRC) Revised 01-18-2010" xfId="160"/>
    <cellStyle name="_Book1_Rebuttal Power Costs_Final Order Electric EXHIBIT A-1" xfId="161"/>
    <cellStyle name="_Book2" xfId="162"/>
    <cellStyle name="_x0013__Book2" xfId="163"/>
    <cellStyle name="_Book2 2" xfId="164"/>
    <cellStyle name="_Book2_04 07E Wild Horse Wind Expansion (C) (2)" xfId="165"/>
    <cellStyle name="_Book2_04 07E Wild Horse Wind Expansion (C) (2)_Adj Bench DR 3 for Initial Briefs (Electric)" xfId="166"/>
    <cellStyle name="_Book2_04 07E Wild Horse Wind Expansion (C) (2)_Electric Rev Req Model (2009 GRC) " xfId="167"/>
    <cellStyle name="_Book2_04 07E Wild Horse Wind Expansion (C) (2)_Electric Rev Req Model (2009 GRC) Rebuttal" xfId="168"/>
    <cellStyle name="_Book2_04 07E Wild Horse Wind Expansion (C) (2)_Electric Rev Req Model (2009 GRC) Rebuttal REmoval of New  WH Solar AdjustMI" xfId="169"/>
    <cellStyle name="_Book2_04 07E Wild Horse Wind Expansion (C) (2)_Electric Rev Req Model (2009 GRC) Revised 01-18-2010" xfId="170"/>
    <cellStyle name="_Book2_04 07E Wild Horse Wind Expansion (C) (2)_Final Order Electric EXHIBIT A-1" xfId="171"/>
    <cellStyle name="_Book2_04 07E Wild Horse Wind Expansion (C) (2)_TENASKA REGULATORY ASSET" xfId="172"/>
    <cellStyle name="_Book2_16.37E Wild Horse Expansion DeferralRevwrkingfile SF" xfId="173"/>
    <cellStyle name="_Book2_2009 GRC Compl Filing - Exhibit D" xfId="174"/>
    <cellStyle name="_Book2_4 31 Regulatory Assets and Liabilities  7 06- Exhibit D" xfId="175"/>
    <cellStyle name="_Book2_4 32 Regulatory Assets and Liabilities  7 06- Exhibit D" xfId="176"/>
    <cellStyle name="_x0013__Book2_Adj Bench DR 3 for Initial Briefs (Electric)" xfId="177"/>
    <cellStyle name="_Book2_Book2" xfId="178"/>
    <cellStyle name="_Book2_Book2_Adj Bench DR 3 for Initial Briefs (Electric)" xfId="179"/>
    <cellStyle name="_Book2_Book2_Electric Rev Req Model (2009 GRC) Rebuttal" xfId="180"/>
    <cellStyle name="_Book2_Book2_Electric Rev Req Model (2009 GRC) Rebuttal REmoval of New  WH Solar AdjustMI" xfId="181"/>
    <cellStyle name="_Book2_Book2_Electric Rev Req Model (2009 GRC) Revised 01-18-2010" xfId="182"/>
    <cellStyle name="_Book2_Book2_Final Order Electric EXHIBIT A-1" xfId="183"/>
    <cellStyle name="_Book2_Book4" xfId="184"/>
    <cellStyle name="_Book2_Book9" xfId="185"/>
    <cellStyle name="_x0013__Book2_Electric Rev Req Model (2009 GRC) Rebuttal" xfId="186"/>
    <cellStyle name="_x0013__Book2_Electric Rev Req Model (2009 GRC) Rebuttal REmoval of New  WH Solar AdjustMI" xfId="187"/>
    <cellStyle name="_x0013__Book2_Electric Rev Req Model (2009 GRC) Revised 01-18-2010" xfId="188"/>
    <cellStyle name="_x0013__Book2_Final Order Electric EXHIBIT A-1" xfId="189"/>
    <cellStyle name="_Book2_Power Costs - Comparison bx Rbtl-Staff-Jt-PC" xfId="190"/>
    <cellStyle name="_Book2_Power Costs - Comparison bx Rbtl-Staff-Jt-PC_Adj Bench DR 3 for Initial Briefs (Electric)" xfId="191"/>
    <cellStyle name="_Book2_Power Costs - Comparison bx Rbtl-Staff-Jt-PC_Electric Rev Req Model (2009 GRC) Rebuttal" xfId="192"/>
    <cellStyle name="_Book2_Power Costs - Comparison bx Rbtl-Staff-Jt-PC_Electric Rev Req Model (2009 GRC) Rebuttal REmoval of New  WH Solar AdjustMI" xfId="193"/>
    <cellStyle name="_Book2_Power Costs - Comparison bx Rbtl-Staff-Jt-PC_Electric Rev Req Model (2009 GRC) Revised 01-18-2010" xfId="194"/>
    <cellStyle name="_Book2_Power Costs - Comparison bx Rbtl-Staff-Jt-PC_Final Order Electric EXHIBIT A-1" xfId="195"/>
    <cellStyle name="_Book2_Rebuttal Power Costs" xfId="196"/>
    <cellStyle name="_Book2_Rebuttal Power Costs_Adj Bench DR 3 for Initial Briefs (Electric)" xfId="197"/>
    <cellStyle name="_Book2_Rebuttal Power Costs_Electric Rev Req Model (2009 GRC) Rebuttal" xfId="198"/>
    <cellStyle name="_Book2_Rebuttal Power Costs_Electric Rev Req Model (2009 GRC) Rebuttal REmoval of New  WH Solar AdjustMI" xfId="199"/>
    <cellStyle name="_Book2_Rebuttal Power Costs_Electric Rev Req Model (2009 GRC) Revised 01-18-2010" xfId="200"/>
    <cellStyle name="_Book2_Rebuttal Power Costs_Final Order Electric EXHIBIT A-1" xfId="201"/>
    <cellStyle name="_Book3" xfId="202"/>
    <cellStyle name="_Book5" xfId="203"/>
    <cellStyle name="_Chelan Debt Forecast 12.19.05" xfId="204"/>
    <cellStyle name="_Chelan Debt Forecast 12.19.05 2" xfId="205"/>
    <cellStyle name="_Chelan Debt Forecast 12.19.05_(C) WHE Proforma with ITC cash grant 10 Yr Amort_for deferral_102809" xfId="206"/>
    <cellStyle name="_Chelan Debt Forecast 12.19.05_(C) WHE Proforma with ITC cash grant 10 Yr Amort_for deferral_102809_16.07E Wild Horse Wind Expansionwrkingfile" xfId="207"/>
    <cellStyle name="_Chelan Debt Forecast 12.19.05_(C) WHE Proforma with ITC cash grant 10 Yr Amort_for deferral_102809_16.07E Wild Horse Wind Expansionwrkingfile SF" xfId="208"/>
    <cellStyle name="_Chelan Debt Forecast 12.19.05_(C) WHE Proforma with ITC cash grant 10 Yr Amort_for deferral_102809_16.37E Wild Horse Expansion DeferralRevwrkingfile SF" xfId="209"/>
    <cellStyle name="_Chelan Debt Forecast 12.19.05_(C) WHE Proforma with ITC cash grant 10 Yr Amort_for rebuttal_120709" xfId="210"/>
    <cellStyle name="_Chelan Debt Forecast 12.19.05_04.07E Wild Horse Wind Expansion" xfId="211"/>
    <cellStyle name="_Chelan Debt Forecast 12.19.05_04.07E Wild Horse Wind Expansion_16.07E Wild Horse Wind Expansionwrkingfile" xfId="212"/>
    <cellStyle name="_Chelan Debt Forecast 12.19.05_04.07E Wild Horse Wind Expansion_16.07E Wild Horse Wind Expansionwrkingfile SF" xfId="213"/>
    <cellStyle name="_Chelan Debt Forecast 12.19.05_04.07E Wild Horse Wind Expansion_16.37E Wild Horse Expansion DeferralRevwrkingfile SF" xfId="214"/>
    <cellStyle name="_Chelan Debt Forecast 12.19.05_16.07E Wild Horse Wind Expansionwrkingfile" xfId="215"/>
    <cellStyle name="_Chelan Debt Forecast 12.19.05_16.07E Wild Horse Wind Expansionwrkingfile SF" xfId="216"/>
    <cellStyle name="_Chelan Debt Forecast 12.19.05_16.37E Wild Horse Expansion DeferralRevwrkingfile SF" xfId="217"/>
    <cellStyle name="_Chelan Debt Forecast 12.19.05_4 31 Regulatory Assets and Liabilities  7 06- Exhibit D" xfId="218"/>
    <cellStyle name="_Chelan Debt Forecast 12.19.05_4 32 Regulatory Assets and Liabilities  7 06- Exhibit D" xfId="219"/>
    <cellStyle name="_Chelan Debt Forecast 12.19.05_Book2" xfId="220"/>
    <cellStyle name="_Chelan Debt Forecast 12.19.05_Book2_Adj Bench DR 3 for Initial Briefs (Electric)" xfId="221"/>
    <cellStyle name="_Chelan Debt Forecast 12.19.05_Book2_Electric Rev Req Model (2009 GRC) Rebuttal" xfId="222"/>
    <cellStyle name="_Chelan Debt Forecast 12.19.05_Book2_Electric Rev Req Model (2009 GRC) Rebuttal REmoval of New  WH Solar AdjustMI" xfId="223"/>
    <cellStyle name="_Chelan Debt Forecast 12.19.05_Book2_Electric Rev Req Model (2009 GRC) Revised 01-18-2010" xfId="224"/>
    <cellStyle name="_Chelan Debt Forecast 12.19.05_Book2_Final Order Electric EXHIBIT A-1" xfId="225"/>
    <cellStyle name="_Chelan Debt Forecast 12.19.05_Book4" xfId="226"/>
    <cellStyle name="_Chelan Debt Forecast 12.19.05_Book9" xfId="227"/>
    <cellStyle name="_Chelan Debt Forecast 12.19.05_Power Costs - Comparison bx Rbtl-Staff-Jt-PC" xfId="228"/>
    <cellStyle name="_Chelan Debt Forecast 12.19.05_Power Costs - Comparison bx Rbtl-Staff-Jt-PC_Adj Bench DR 3 for Initial Briefs (Electric)" xfId="229"/>
    <cellStyle name="_Chelan Debt Forecast 12.19.05_Power Costs - Comparison bx Rbtl-Staff-Jt-PC_Electric Rev Req Model (2009 GRC) Rebuttal" xfId="230"/>
    <cellStyle name="_Chelan Debt Forecast 12.19.05_Power Costs - Comparison bx Rbtl-Staff-Jt-PC_Electric Rev Req Model (2009 GRC) Rebuttal REmoval of New  WH Solar AdjustMI" xfId="231"/>
    <cellStyle name="_Chelan Debt Forecast 12.19.05_Power Costs - Comparison bx Rbtl-Staff-Jt-PC_Electric Rev Req Model (2009 GRC) Revised 01-18-2010" xfId="232"/>
    <cellStyle name="_Chelan Debt Forecast 12.19.05_Power Costs - Comparison bx Rbtl-Staff-Jt-PC_Final Order Electric EXHIBIT A-1" xfId="233"/>
    <cellStyle name="_Chelan Debt Forecast 12.19.05_Rebuttal Power Costs" xfId="234"/>
    <cellStyle name="_Chelan Debt Forecast 12.19.05_Rebuttal Power Costs_Adj Bench DR 3 for Initial Briefs (Electric)" xfId="235"/>
    <cellStyle name="_Chelan Debt Forecast 12.19.05_Rebuttal Power Costs_Electric Rev Req Model (2009 GRC) Rebuttal" xfId="236"/>
    <cellStyle name="_Chelan Debt Forecast 12.19.05_Rebuttal Power Costs_Electric Rev Req Model (2009 GRC) Rebuttal REmoval of New  WH Solar AdjustMI" xfId="237"/>
    <cellStyle name="_Chelan Debt Forecast 12.19.05_Rebuttal Power Costs_Electric Rev Req Model (2009 GRC) Revised 01-18-2010" xfId="238"/>
    <cellStyle name="_Chelan Debt Forecast 12.19.05_Rebuttal Power Costs_Final Order Electric EXHIBIT A-1" xfId="239"/>
    <cellStyle name="_Copy 11-9 Sumas Proforma - Current" xfId="240"/>
    <cellStyle name="_Costs not in AURORA 06GRC" xfId="241"/>
    <cellStyle name="_Costs not in AURORA 06GRC 2" xfId="242"/>
    <cellStyle name="_Costs not in AURORA 06GRC_04 07E Wild Horse Wind Expansion (C) (2)" xfId="243"/>
    <cellStyle name="_Costs not in AURORA 06GRC_04 07E Wild Horse Wind Expansion (C) (2)_Adj Bench DR 3 for Initial Briefs (Electric)" xfId="244"/>
    <cellStyle name="_Costs not in AURORA 06GRC_04 07E Wild Horse Wind Expansion (C) (2)_Electric Rev Req Model (2009 GRC) " xfId="245"/>
    <cellStyle name="_Costs not in AURORA 06GRC_04 07E Wild Horse Wind Expansion (C) (2)_Electric Rev Req Model (2009 GRC) Rebuttal" xfId="246"/>
    <cellStyle name="_Costs not in AURORA 06GRC_04 07E Wild Horse Wind Expansion (C) (2)_Electric Rev Req Model (2009 GRC) Rebuttal REmoval of New  WH Solar AdjustMI" xfId="247"/>
    <cellStyle name="_Costs not in AURORA 06GRC_04 07E Wild Horse Wind Expansion (C) (2)_Electric Rev Req Model (2009 GRC) Revised 01-18-2010" xfId="248"/>
    <cellStyle name="_Costs not in AURORA 06GRC_04 07E Wild Horse Wind Expansion (C) (2)_Final Order Electric EXHIBIT A-1" xfId="249"/>
    <cellStyle name="_Costs not in AURORA 06GRC_04 07E Wild Horse Wind Expansion (C) (2)_TENASKA REGULATORY ASSET" xfId="250"/>
    <cellStyle name="_Costs not in AURORA 06GRC_16.37E Wild Horse Expansion DeferralRevwrkingfile SF" xfId="251"/>
    <cellStyle name="_Costs not in AURORA 06GRC_4 31 Regulatory Assets and Liabilities  7 06- Exhibit D" xfId="252"/>
    <cellStyle name="_Costs not in AURORA 06GRC_4 32 Regulatory Assets and Liabilities  7 06- Exhibit D" xfId="253"/>
    <cellStyle name="_Costs not in AURORA 06GRC_Book2" xfId="254"/>
    <cellStyle name="_Costs not in AURORA 06GRC_Book2_Adj Bench DR 3 for Initial Briefs (Electric)" xfId="255"/>
    <cellStyle name="_Costs not in AURORA 06GRC_Book2_Electric Rev Req Model (2009 GRC) Rebuttal" xfId="256"/>
    <cellStyle name="_Costs not in AURORA 06GRC_Book2_Electric Rev Req Model (2009 GRC) Rebuttal REmoval of New  WH Solar AdjustMI" xfId="257"/>
    <cellStyle name="_Costs not in AURORA 06GRC_Book2_Electric Rev Req Model (2009 GRC) Revised 01-18-2010" xfId="258"/>
    <cellStyle name="_Costs not in AURORA 06GRC_Book2_Final Order Electric EXHIBIT A-1" xfId="259"/>
    <cellStyle name="_Costs not in AURORA 06GRC_Book4" xfId="260"/>
    <cellStyle name="_Costs not in AURORA 06GRC_Book9" xfId="261"/>
    <cellStyle name="_Costs not in AURORA 06GRC_Power Costs - Comparison bx Rbtl-Staff-Jt-PC" xfId="262"/>
    <cellStyle name="_Costs not in AURORA 06GRC_Power Costs - Comparison bx Rbtl-Staff-Jt-PC_Adj Bench DR 3 for Initial Briefs (Electric)" xfId="263"/>
    <cellStyle name="_Costs not in AURORA 06GRC_Power Costs - Comparison bx Rbtl-Staff-Jt-PC_Electric Rev Req Model (2009 GRC) Rebuttal" xfId="264"/>
    <cellStyle name="_Costs not in AURORA 06GRC_Power Costs - Comparison bx Rbtl-Staff-Jt-PC_Electric Rev Req Model (2009 GRC) Rebuttal REmoval of New  WH Solar AdjustMI" xfId="265"/>
    <cellStyle name="_Costs not in AURORA 06GRC_Power Costs - Comparison bx Rbtl-Staff-Jt-PC_Electric Rev Req Model (2009 GRC) Revised 01-18-2010" xfId="266"/>
    <cellStyle name="_Costs not in AURORA 06GRC_Power Costs - Comparison bx Rbtl-Staff-Jt-PC_Final Order Electric EXHIBIT A-1" xfId="267"/>
    <cellStyle name="_Costs not in AURORA 06GRC_Rebuttal Power Costs" xfId="268"/>
    <cellStyle name="_Costs not in AURORA 06GRC_Rebuttal Power Costs_Adj Bench DR 3 for Initial Briefs (Electric)" xfId="269"/>
    <cellStyle name="_Costs not in AURORA 06GRC_Rebuttal Power Costs_Electric Rev Req Model (2009 GRC) Rebuttal" xfId="270"/>
    <cellStyle name="_Costs not in AURORA 06GRC_Rebuttal Power Costs_Electric Rev Req Model (2009 GRC) Rebuttal REmoval of New  WH Solar AdjustMI" xfId="271"/>
    <cellStyle name="_Costs not in AURORA 06GRC_Rebuttal Power Costs_Electric Rev Req Model (2009 GRC) Revised 01-18-2010" xfId="272"/>
    <cellStyle name="_Costs not in AURORA 06GRC_Rebuttal Power Costs_Final Order Electric EXHIBIT A-1" xfId="273"/>
    <cellStyle name="_Costs not in AURORA 2006GRC 6.15.06" xfId="274"/>
    <cellStyle name="_Costs not in AURORA 2006GRC 6.15.06 2" xfId="275"/>
    <cellStyle name="_Costs not in AURORA 2006GRC 6.15.06_04 07E Wild Horse Wind Expansion (C) (2)" xfId="276"/>
    <cellStyle name="_Costs not in AURORA 2006GRC 6.15.06_04 07E Wild Horse Wind Expansion (C) (2)_Adj Bench DR 3 for Initial Briefs (Electric)" xfId="277"/>
    <cellStyle name="_Costs not in AURORA 2006GRC 6.15.06_04 07E Wild Horse Wind Expansion (C) (2)_Electric Rev Req Model (2009 GRC) " xfId="278"/>
    <cellStyle name="_Costs not in AURORA 2006GRC 6.15.06_04 07E Wild Horse Wind Expansion (C) (2)_Electric Rev Req Model (2009 GRC) Rebuttal" xfId="279"/>
    <cellStyle name="_Costs not in AURORA 2006GRC 6.15.06_04 07E Wild Horse Wind Expansion (C) (2)_Electric Rev Req Model (2009 GRC) Rebuttal REmoval of New  WH Solar AdjustMI" xfId="280"/>
    <cellStyle name="_Costs not in AURORA 2006GRC 6.15.06_04 07E Wild Horse Wind Expansion (C) (2)_Electric Rev Req Model (2009 GRC) Revised 01-18-2010" xfId="281"/>
    <cellStyle name="_Costs not in AURORA 2006GRC 6.15.06_04 07E Wild Horse Wind Expansion (C) (2)_Final Order Electric EXHIBIT A-1" xfId="282"/>
    <cellStyle name="_Costs not in AURORA 2006GRC 6.15.06_04 07E Wild Horse Wind Expansion (C) (2)_TENASKA REGULATORY ASSET" xfId="283"/>
    <cellStyle name="_Costs not in AURORA 2006GRC 6.15.06_16.37E Wild Horse Expansion DeferralRevwrkingfile SF" xfId="284"/>
    <cellStyle name="_Costs not in AURORA 2006GRC 6.15.06_2009 GRC Compl Filing - Exhibit D" xfId="285"/>
    <cellStyle name="_Costs not in AURORA 2006GRC 6.15.06_4 31 Regulatory Assets and Liabilities  7 06- Exhibit D" xfId="286"/>
    <cellStyle name="_Costs not in AURORA 2006GRC 6.15.06_4 32 Regulatory Assets and Liabilities  7 06- Exhibit D" xfId="287"/>
    <cellStyle name="_Costs not in AURORA 2006GRC 6.15.06_Book2" xfId="288"/>
    <cellStyle name="_Costs not in AURORA 2006GRC 6.15.06_Book2_Adj Bench DR 3 for Initial Briefs (Electric)" xfId="289"/>
    <cellStyle name="_Costs not in AURORA 2006GRC 6.15.06_Book2_Electric Rev Req Model (2009 GRC) Rebuttal" xfId="290"/>
    <cellStyle name="_Costs not in AURORA 2006GRC 6.15.06_Book2_Electric Rev Req Model (2009 GRC) Rebuttal REmoval of New  WH Solar AdjustMI" xfId="291"/>
    <cellStyle name="_Costs not in AURORA 2006GRC 6.15.06_Book2_Electric Rev Req Model (2009 GRC) Revised 01-18-2010" xfId="292"/>
    <cellStyle name="_Costs not in AURORA 2006GRC 6.15.06_Book2_Final Order Electric EXHIBIT A-1" xfId="293"/>
    <cellStyle name="_Costs not in AURORA 2006GRC 6.15.06_Book4" xfId="294"/>
    <cellStyle name="_Costs not in AURORA 2006GRC 6.15.06_Book9" xfId="295"/>
    <cellStyle name="_Costs not in AURORA 2006GRC 6.15.06_Power Costs - Comparison bx Rbtl-Staff-Jt-PC" xfId="296"/>
    <cellStyle name="_Costs not in AURORA 2006GRC 6.15.06_Power Costs - Comparison bx Rbtl-Staff-Jt-PC_Adj Bench DR 3 for Initial Briefs (Electric)" xfId="297"/>
    <cellStyle name="_Costs not in AURORA 2006GRC 6.15.06_Power Costs - Comparison bx Rbtl-Staff-Jt-PC_Electric Rev Req Model (2009 GRC) Rebuttal" xfId="298"/>
    <cellStyle name="_Costs not in AURORA 2006GRC 6.15.06_Power Costs - Comparison bx Rbtl-Staff-Jt-PC_Electric Rev Req Model (2009 GRC) Rebuttal REmoval of New  WH Solar AdjustMI" xfId="299"/>
    <cellStyle name="_Costs not in AURORA 2006GRC 6.15.06_Power Costs - Comparison bx Rbtl-Staff-Jt-PC_Electric Rev Req Model (2009 GRC) Revised 01-18-2010" xfId="300"/>
    <cellStyle name="_Costs not in AURORA 2006GRC 6.15.06_Power Costs - Comparison bx Rbtl-Staff-Jt-PC_Final Order Electric EXHIBIT A-1" xfId="301"/>
    <cellStyle name="_Costs not in AURORA 2006GRC 6.15.06_Rebuttal Power Costs" xfId="302"/>
    <cellStyle name="_Costs not in AURORA 2006GRC 6.15.06_Rebuttal Power Costs_Adj Bench DR 3 for Initial Briefs (Electric)" xfId="303"/>
    <cellStyle name="_Costs not in AURORA 2006GRC 6.15.06_Rebuttal Power Costs_Electric Rev Req Model (2009 GRC) Rebuttal" xfId="304"/>
    <cellStyle name="_Costs not in AURORA 2006GRC 6.15.06_Rebuttal Power Costs_Electric Rev Req Model (2009 GRC) Rebuttal REmoval of New  WH Solar AdjustMI" xfId="305"/>
    <cellStyle name="_Costs not in AURORA 2006GRC 6.15.06_Rebuttal Power Costs_Electric Rev Req Model (2009 GRC) Revised 01-18-2010" xfId="306"/>
    <cellStyle name="_Costs not in AURORA 2006GRC 6.15.06_Rebuttal Power Costs_Final Order Electric EXHIBIT A-1" xfId="307"/>
    <cellStyle name="_Costs not in AURORA 2006GRC w gas price updated" xfId="308"/>
    <cellStyle name="_Costs not in AURORA 2006GRC w gas price updated_Adj Bench DR 3 for Initial Briefs (Electric)" xfId="309"/>
    <cellStyle name="_Costs not in AURORA 2006GRC w gas price updated_Book2" xfId="310"/>
    <cellStyle name="_Costs not in AURORA 2006GRC w gas price updated_Book2_Adj Bench DR 3 for Initial Briefs (Electric)" xfId="311"/>
    <cellStyle name="_Costs not in AURORA 2006GRC w gas price updated_Book2_Electric Rev Req Model (2009 GRC) Rebuttal" xfId="312"/>
    <cellStyle name="_Costs not in AURORA 2006GRC w gas price updated_Book2_Electric Rev Req Model (2009 GRC) Rebuttal REmoval of New  WH Solar AdjustMI" xfId="313"/>
    <cellStyle name="_Costs not in AURORA 2006GRC w gas price updated_Book2_Electric Rev Req Model (2009 GRC) Revised 01-18-2010" xfId="314"/>
    <cellStyle name="_Costs not in AURORA 2006GRC w gas price updated_Book2_Final Order Electric EXHIBIT A-1" xfId="315"/>
    <cellStyle name="_Costs not in AURORA 2006GRC w gas price updated_Electric Rev Req Model (2009 GRC) " xfId="316"/>
    <cellStyle name="_Costs not in AURORA 2006GRC w gas price updated_Electric Rev Req Model (2009 GRC) Rebuttal" xfId="317"/>
    <cellStyle name="_Costs not in AURORA 2006GRC w gas price updated_Electric Rev Req Model (2009 GRC) Rebuttal REmoval of New  WH Solar AdjustMI" xfId="318"/>
    <cellStyle name="_Costs not in AURORA 2006GRC w gas price updated_Electric Rev Req Model (2009 GRC) Revised 01-18-2010" xfId="319"/>
    <cellStyle name="_Costs not in AURORA 2006GRC w gas price updated_Final Order Electric EXHIBIT A-1" xfId="320"/>
    <cellStyle name="_Costs not in AURORA 2006GRC w gas price updated_Rebuttal Power Costs" xfId="321"/>
    <cellStyle name="_Costs not in AURORA 2006GRC w gas price updated_Rebuttal Power Costs_Adj Bench DR 3 for Initial Briefs (Electric)" xfId="322"/>
    <cellStyle name="_Costs not in AURORA 2006GRC w gas price updated_Rebuttal Power Costs_Electric Rev Req Model (2009 GRC) Rebuttal" xfId="323"/>
    <cellStyle name="_Costs not in AURORA 2006GRC w gas price updated_Rebuttal Power Costs_Electric Rev Req Model (2009 GRC) Rebuttal REmoval of New  WH Solar AdjustMI" xfId="324"/>
    <cellStyle name="_Costs not in AURORA 2006GRC w gas price updated_Rebuttal Power Costs_Electric Rev Req Model (2009 GRC) Revised 01-18-2010" xfId="325"/>
    <cellStyle name="_Costs not in AURORA 2006GRC w gas price updated_Rebuttal Power Costs_Final Order Electric EXHIBIT A-1" xfId="326"/>
    <cellStyle name="_Costs not in AURORA 2006GRC w gas price updated_TENASKA REGULATORY ASSET" xfId="327"/>
    <cellStyle name="_Costs not in AURORA 2007 Rate Case" xfId="328"/>
    <cellStyle name="_Costs not in AURORA 2007 Rate Case 2" xfId="329"/>
    <cellStyle name="_Costs not in AURORA 2007 Rate Case_(C) WHE Proforma with ITC cash grant 10 Yr Amort_for deferral_102809" xfId="330"/>
    <cellStyle name="_Costs not in AURORA 2007 Rate Case_(C) WHE Proforma with ITC cash grant 10 Yr Amort_for deferral_102809_16.07E Wild Horse Wind Expansionwrkingfile" xfId="331"/>
    <cellStyle name="_Costs not in AURORA 2007 Rate Case_(C) WHE Proforma with ITC cash grant 10 Yr Amort_for deferral_102809_16.07E Wild Horse Wind Expansionwrkingfile SF" xfId="332"/>
    <cellStyle name="_Costs not in AURORA 2007 Rate Case_(C) WHE Proforma with ITC cash grant 10 Yr Amort_for deferral_102809_16.37E Wild Horse Expansion DeferralRevwrkingfile SF" xfId="333"/>
    <cellStyle name="_Costs not in AURORA 2007 Rate Case_(C) WHE Proforma with ITC cash grant 10 Yr Amort_for rebuttal_120709" xfId="334"/>
    <cellStyle name="_Costs not in AURORA 2007 Rate Case_04.07E Wild Horse Wind Expansion" xfId="335"/>
    <cellStyle name="_Costs not in AURORA 2007 Rate Case_04.07E Wild Horse Wind Expansion_16.07E Wild Horse Wind Expansionwrkingfile" xfId="336"/>
    <cellStyle name="_Costs not in AURORA 2007 Rate Case_04.07E Wild Horse Wind Expansion_16.07E Wild Horse Wind Expansionwrkingfile SF" xfId="337"/>
    <cellStyle name="_Costs not in AURORA 2007 Rate Case_04.07E Wild Horse Wind Expansion_16.37E Wild Horse Expansion DeferralRevwrkingfile SF" xfId="338"/>
    <cellStyle name="_Costs not in AURORA 2007 Rate Case_16.07E Wild Horse Wind Expansionwrkingfile" xfId="339"/>
    <cellStyle name="_Costs not in AURORA 2007 Rate Case_16.07E Wild Horse Wind Expansionwrkingfile SF" xfId="340"/>
    <cellStyle name="_Costs not in AURORA 2007 Rate Case_16.37E Wild Horse Expansion DeferralRevwrkingfile SF" xfId="341"/>
    <cellStyle name="_Costs not in AURORA 2007 Rate Case_2009 GRC Compl Filing - Exhibit D" xfId="342"/>
    <cellStyle name="_Costs not in AURORA 2007 Rate Case_4 31 Regulatory Assets and Liabilities  7 06- Exhibit D" xfId="343"/>
    <cellStyle name="_Costs not in AURORA 2007 Rate Case_4 32 Regulatory Assets and Liabilities  7 06- Exhibit D" xfId="344"/>
    <cellStyle name="_Costs not in AURORA 2007 Rate Case_Book2" xfId="345"/>
    <cellStyle name="_Costs not in AURORA 2007 Rate Case_Book2_Adj Bench DR 3 for Initial Briefs (Electric)" xfId="346"/>
    <cellStyle name="_Costs not in AURORA 2007 Rate Case_Book2_Electric Rev Req Model (2009 GRC) Rebuttal" xfId="347"/>
    <cellStyle name="_Costs not in AURORA 2007 Rate Case_Book2_Electric Rev Req Model (2009 GRC) Rebuttal REmoval of New  WH Solar AdjustMI" xfId="348"/>
    <cellStyle name="_Costs not in AURORA 2007 Rate Case_Book2_Electric Rev Req Model (2009 GRC) Revised 01-18-2010" xfId="349"/>
    <cellStyle name="_Costs not in AURORA 2007 Rate Case_Book2_Final Order Electric EXHIBIT A-1" xfId="350"/>
    <cellStyle name="_Costs not in AURORA 2007 Rate Case_Book4" xfId="351"/>
    <cellStyle name="_Costs not in AURORA 2007 Rate Case_Book9" xfId="352"/>
    <cellStyle name="_Costs not in AURORA 2007 Rate Case_Power Costs - Comparison bx Rbtl-Staff-Jt-PC" xfId="353"/>
    <cellStyle name="_Costs not in AURORA 2007 Rate Case_Power Costs - Comparison bx Rbtl-Staff-Jt-PC_Adj Bench DR 3 for Initial Briefs (Electric)" xfId="354"/>
    <cellStyle name="_Costs not in AURORA 2007 Rate Case_Power Costs - Comparison bx Rbtl-Staff-Jt-PC_Electric Rev Req Model (2009 GRC) Rebuttal" xfId="355"/>
    <cellStyle name="_Costs not in AURORA 2007 Rate Case_Power Costs - Comparison bx Rbtl-Staff-Jt-PC_Electric Rev Req Model (2009 GRC) Rebuttal REmoval of New  WH Solar AdjustMI" xfId="356"/>
    <cellStyle name="_Costs not in AURORA 2007 Rate Case_Power Costs - Comparison bx Rbtl-Staff-Jt-PC_Electric Rev Req Model (2009 GRC) Revised 01-18-2010" xfId="357"/>
    <cellStyle name="_Costs not in AURORA 2007 Rate Case_Power Costs - Comparison bx Rbtl-Staff-Jt-PC_Final Order Electric EXHIBIT A-1" xfId="358"/>
    <cellStyle name="_Costs not in AURORA 2007 Rate Case_Rebuttal Power Costs" xfId="359"/>
    <cellStyle name="_Costs not in AURORA 2007 Rate Case_Rebuttal Power Costs_Adj Bench DR 3 for Initial Briefs (Electric)" xfId="360"/>
    <cellStyle name="_Costs not in AURORA 2007 Rate Case_Rebuttal Power Costs_Electric Rev Req Model (2009 GRC) Rebuttal" xfId="361"/>
    <cellStyle name="_Costs not in AURORA 2007 Rate Case_Rebuttal Power Costs_Electric Rev Req Model (2009 GRC) Rebuttal REmoval of New  WH Solar AdjustMI" xfId="362"/>
    <cellStyle name="_Costs not in AURORA 2007 Rate Case_Rebuttal Power Costs_Electric Rev Req Model (2009 GRC) Revised 01-18-2010" xfId="363"/>
    <cellStyle name="_Costs not in AURORA 2007 Rate Case_Rebuttal Power Costs_Final Order Electric EXHIBIT A-1" xfId="364"/>
    <cellStyle name="_Costs not in KWI3000 '06Budget" xfId="365"/>
    <cellStyle name="_Costs not in KWI3000 '06Budget 2" xfId="366"/>
    <cellStyle name="_Costs not in KWI3000 '06Budget_(C) WHE Proforma with ITC cash grant 10 Yr Amort_for deferral_102809" xfId="367"/>
    <cellStyle name="_Costs not in KWI3000 '06Budget_(C) WHE Proforma with ITC cash grant 10 Yr Amort_for deferral_102809_16.07E Wild Horse Wind Expansionwrkingfile" xfId="368"/>
    <cellStyle name="_Costs not in KWI3000 '06Budget_(C) WHE Proforma with ITC cash grant 10 Yr Amort_for deferral_102809_16.07E Wild Horse Wind Expansionwrkingfile SF" xfId="369"/>
    <cellStyle name="_Costs not in KWI3000 '06Budget_(C) WHE Proforma with ITC cash grant 10 Yr Amort_for deferral_102809_16.37E Wild Horse Expansion DeferralRevwrkingfile SF" xfId="370"/>
    <cellStyle name="_Costs not in KWI3000 '06Budget_(C) WHE Proforma with ITC cash grant 10 Yr Amort_for rebuttal_120709" xfId="371"/>
    <cellStyle name="_Costs not in KWI3000 '06Budget_04.07E Wild Horse Wind Expansion" xfId="372"/>
    <cellStyle name="_Costs not in KWI3000 '06Budget_04.07E Wild Horse Wind Expansion_16.07E Wild Horse Wind Expansionwrkingfile" xfId="373"/>
    <cellStyle name="_Costs not in KWI3000 '06Budget_04.07E Wild Horse Wind Expansion_16.07E Wild Horse Wind Expansionwrkingfile SF" xfId="374"/>
    <cellStyle name="_Costs not in KWI3000 '06Budget_04.07E Wild Horse Wind Expansion_16.37E Wild Horse Expansion DeferralRevwrkingfile SF" xfId="375"/>
    <cellStyle name="_Costs not in KWI3000 '06Budget_16.07E Wild Horse Wind Expansionwrkingfile" xfId="376"/>
    <cellStyle name="_Costs not in KWI3000 '06Budget_16.07E Wild Horse Wind Expansionwrkingfile SF" xfId="377"/>
    <cellStyle name="_Costs not in KWI3000 '06Budget_16.37E Wild Horse Expansion DeferralRevwrkingfile SF" xfId="378"/>
    <cellStyle name="_Costs not in KWI3000 '06Budget_4 31 Regulatory Assets and Liabilities  7 06- Exhibit D" xfId="379"/>
    <cellStyle name="_Costs not in KWI3000 '06Budget_4 32 Regulatory Assets and Liabilities  7 06- Exhibit D" xfId="380"/>
    <cellStyle name="_Costs not in KWI3000 '06Budget_Book2" xfId="381"/>
    <cellStyle name="_Costs not in KWI3000 '06Budget_Book2_Adj Bench DR 3 for Initial Briefs (Electric)" xfId="382"/>
    <cellStyle name="_Costs not in KWI3000 '06Budget_Book2_Electric Rev Req Model (2009 GRC) Rebuttal" xfId="383"/>
    <cellStyle name="_Costs not in KWI3000 '06Budget_Book2_Electric Rev Req Model (2009 GRC) Rebuttal REmoval of New  WH Solar AdjustMI" xfId="384"/>
    <cellStyle name="_Costs not in KWI3000 '06Budget_Book2_Electric Rev Req Model (2009 GRC) Revised 01-18-2010" xfId="385"/>
    <cellStyle name="_Costs not in KWI3000 '06Budget_Book2_Final Order Electric EXHIBIT A-1" xfId="386"/>
    <cellStyle name="_Costs not in KWI3000 '06Budget_Book4" xfId="387"/>
    <cellStyle name="_Costs not in KWI3000 '06Budget_Book9" xfId="388"/>
    <cellStyle name="_Costs not in KWI3000 '06Budget_Power Costs - Comparison bx Rbtl-Staff-Jt-PC" xfId="389"/>
    <cellStyle name="_Costs not in KWI3000 '06Budget_Power Costs - Comparison bx Rbtl-Staff-Jt-PC_Adj Bench DR 3 for Initial Briefs (Electric)" xfId="390"/>
    <cellStyle name="_Costs not in KWI3000 '06Budget_Power Costs - Comparison bx Rbtl-Staff-Jt-PC_Electric Rev Req Model (2009 GRC) Rebuttal" xfId="391"/>
    <cellStyle name="_Costs not in KWI3000 '06Budget_Power Costs - Comparison bx Rbtl-Staff-Jt-PC_Electric Rev Req Model (2009 GRC) Rebuttal REmoval of New  WH Solar AdjustMI" xfId="392"/>
    <cellStyle name="_Costs not in KWI3000 '06Budget_Power Costs - Comparison bx Rbtl-Staff-Jt-PC_Electric Rev Req Model (2009 GRC) Revised 01-18-2010" xfId="393"/>
    <cellStyle name="_Costs not in KWI3000 '06Budget_Power Costs - Comparison bx Rbtl-Staff-Jt-PC_Final Order Electric EXHIBIT A-1" xfId="394"/>
    <cellStyle name="_Costs not in KWI3000 '06Budget_Rebuttal Power Costs" xfId="395"/>
    <cellStyle name="_Costs not in KWI3000 '06Budget_Rebuttal Power Costs_Adj Bench DR 3 for Initial Briefs (Electric)" xfId="396"/>
    <cellStyle name="_Costs not in KWI3000 '06Budget_Rebuttal Power Costs_Electric Rev Req Model (2009 GRC) Rebuttal" xfId="397"/>
    <cellStyle name="_Costs not in KWI3000 '06Budget_Rebuttal Power Costs_Electric Rev Req Model (2009 GRC) Rebuttal REmoval of New  WH Solar AdjustMI" xfId="398"/>
    <cellStyle name="_Costs not in KWI3000 '06Budget_Rebuttal Power Costs_Electric Rev Req Model (2009 GRC) Revised 01-18-2010" xfId="399"/>
    <cellStyle name="_Costs not in KWI3000 '06Budget_Rebuttal Power Costs_Final Order Electric EXHIBIT A-1" xfId="400"/>
    <cellStyle name="_DEM-WP (C) Power Cost 2006GRC Order" xfId="401"/>
    <cellStyle name="_DEM-WP (C) Power Cost 2006GRC Order 2" xfId="402"/>
    <cellStyle name="_DEM-WP (C) Power Cost 2006GRC Order_04 07E Wild Horse Wind Expansion (C) (2)" xfId="403"/>
    <cellStyle name="_DEM-WP (C) Power Cost 2006GRC Order_04 07E Wild Horse Wind Expansion (C) (2)_Adj Bench DR 3 for Initial Briefs (Electric)" xfId="404"/>
    <cellStyle name="_DEM-WP (C) Power Cost 2006GRC Order_04 07E Wild Horse Wind Expansion (C) (2)_Electric Rev Req Model (2009 GRC) " xfId="405"/>
    <cellStyle name="_DEM-WP (C) Power Cost 2006GRC Order_04 07E Wild Horse Wind Expansion (C) (2)_Electric Rev Req Model (2009 GRC) Rebuttal" xfId="406"/>
    <cellStyle name="_DEM-WP (C) Power Cost 2006GRC Order_04 07E Wild Horse Wind Expansion (C) (2)_Electric Rev Req Model (2009 GRC) Rebuttal REmoval of New  WH Solar AdjustMI" xfId="407"/>
    <cellStyle name="_DEM-WP (C) Power Cost 2006GRC Order_04 07E Wild Horse Wind Expansion (C) (2)_Electric Rev Req Model (2009 GRC) Revised 01-18-2010" xfId="408"/>
    <cellStyle name="_DEM-WP (C) Power Cost 2006GRC Order_04 07E Wild Horse Wind Expansion (C) (2)_Final Order Electric EXHIBIT A-1" xfId="409"/>
    <cellStyle name="_DEM-WP (C) Power Cost 2006GRC Order_04 07E Wild Horse Wind Expansion (C) (2)_TENASKA REGULATORY ASSET" xfId="410"/>
    <cellStyle name="_DEM-WP (C) Power Cost 2006GRC Order_16.37E Wild Horse Expansion DeferralRevwrkingfile SF" xfId="411"/>
    <cellStyle name="_DEM-WP (C) Power Cost 2006GRC Order_2009 GRC Compl Filing - Exhibit D" xfId="412"/>
    <cellStyle name="_DEM-WP (C) Power Cost 2006GRC Order_4 31 Regulatory Assets and Liabilities  7 06- Exhibit D" xfId="413"/>
    <cellStyle name="_DEM-WP (C) Power Cost 2006GRC Order_4 32 Regulatory Assets and Liabilities  7 06- Exhibit D" xfId="414"/>
    <cellStyle name="_DEM-WP (C) Power Cost 2006GRC Order_Book2" xfId="415"/>
    <cellStyle name="_DEM-WP (C) Power Cost 2006GRC Order_Book2_Adj Bench DR 3 for Initial Briefs (Electric)" xfId="416"/>
    <cellStyle name="_DEM-WP (C) Power Cost 2006GRC Order_Book2_Electric Rev Req Model (2009 GRC) Rebuttal" xfId="417"/>
    <cellStyle name="_DEM-WP (C) Power Cost 2006GRC Order_Book2_Electric Rev Req Model (2009 GRC) Rebuttal REmoval of New  WH Solar AdjustMI" xfId="418"/>
    <cellStyle name="_DEM-WP (C) Power Cost 2006GRC Order_Book2_Electric Rev Req Model (2009 GRC) Revised 01-18-2010" xfId="419"/>
    <cellStyle name="_DEM-WP (C) Power Cost 2006GRC Order_Book2_Final Order Electric EXHIBIT A-1" xfId="420"/>
    <cellStyle name="_DEM-WP (C) Power Cost 2006GRC Order_Book4" xfId="421"/>
    <cellStyle name="_DEM-WP (C) Power Cost 2006GRC Order_Book9" xfId="422"/>
    <cellStyle name="_DEM-WP (C) Power Cost 2006GRC Order_Power Costs - Comparison bx Rbtl-Staff-Jt-PC" xfId="423"/>
    <cellStyle name="_DEM-WP (C) Power Cost 2006GRC Order_Power Costs - Comparison bx Rbtl-Staff-Jt-PC_Adj Bench DR 3 for Initial Briefs (Electric)" xfId="424"/>
    <cellStyle name="_DEM-WP (C) Power Cost 2006GRC Order_Power Costs - Comparison bx Rbtl-Staff-Jt-PC_Electric Rev Req Model (2009 GRC) Rebuttal" xfId="425"/>
    <cellStyle name="_DEM-WP (C) Power Cost 2006GRC Order_Power Costs - Comparison bx Rbtl-Staff-Jt-PC_Electric Rev Req Model (2009 GRC) Rebuttal REmoval of New  WH Solar AdjustMI" xfId="426"/>
    <cellStyle name="_DEM-WP (C) Power Cost 2006GRC Order_Power Costs - Comparison bx Rbtl-Staff-Jt-PC_Electric Rev Req Model (2009 GRC) Revised 01-18-2010" xfId="427"/>
    <cellStyle name="_DEM-WP (C) Power Cost 2006GRC Order_Power Costs - Comparison bx Rbtl-Staff-Jt-PC_Final Order Electric EXHIBIT A-1" xfId="428"/>
    <cellStyle name="_DEM-WP (C) Power Cost 2006GRC Order_Rebuttal Power Costs" xfId="429"/>
    <cellStyle name="_DEM-WP (C) Power Cost 2006GRC Order_Rebuttal Power Costs_Adj Bench DR 3 for Initial Briefs (Electric)" xfId="430"/>
    <cellStyle name="_DEM-WP (C) Power Cost 2006GRC Order_Rebuttal Power Costs_Electric Rev Req Model (2009 GRC) Rebuttal" xfId="431"/>
    <cellStyle name="_DEM-WP (C) Power Cost 2006GRC Order_Rebuttal Power Costs_Electric Rev Req Model (2009 GRC) Rebuttal REmoval of New  WH Solar AdjustMI" xfId="432"/>
    <cellStyle name="_DEM-WP (C) Power Cost 2006GRC Order_Rebuttal Power Costs_Electric Rev Req Model (2009 GRC) Revised 01-18-2010" xfId="433"/>
    <cellStyle name="_DEM-WP (C) Power Cost 2006GRC Order_Rebuttal Power Costs_Final Order Electric EXHIBIT A-1" xfId="434"/>
    <cellStyle name="_DEM-WP Revised (HC) Wild Horse 2006GRC" xfId="435"/>
    <cellStyle name="_DEM-WP Revised (HC) Wild Horse 2006GRC_16.37E Wild Horse Expansion DeferralRevwrkingfile SF" xfId="436"/>
    <cellStyle name="_DEM-WP Revised (HC) Wild Horse 2006GRC_2009 GRC Compl Filing - Exhibit D" xfId="437"/>
    <cellStyle name="_DEM-WP Revised (HC) Wild Horse 2006GRC_Adj Bench DR 3 for Initial Briefs (Electric)" xfId="438"/>
    <cellStyle name="_DEM-WP Revised (HC) Wild Horse 2006GRC_Book2" xfId="439"/>
    <cellStyle name="_DEM-WP Revised (HC) Wild Horse 2006GRC_Book4" xfId="440"/>
    <cellStyle name="_DEM-WP Revised (HC) Wild Horse 2006GRC_Electric Rev Req Model (2009 GRC) " xfId="441"/>
    <cellStyle name="_DEM-WP Revised (HC) Wild Horse 2006GRC_Electric Rev Req Model (2009 GRC) Rebuttal" xfId="442"/>
    <cellStyle name="_DEM-WP Revised (HC) Wild Horse 2006GRC_Electric Rev Req Model (2009 GRC) Rebuttal REmoval of New  WH Solar AdjustMI" xfId="443"/>
    <cellStyle name="_DEM-WP Revised (HC) Wild Horse 2006GRC_Electric Rev Req Model (2009 GRC) Revised 01-18-2010" xfId="444"/>
    <cellStyle name="_DEM-WP Revised (HC) Wild Horse 2006GRC_Final Order Electric EXHIBIT A-1" xfId="445"/>
    <cellStyle name="_DEM-WP Revised (HC) Wild Horse 2006GRC_Power Costs - Comparison bx Rbtl-Staff-Jt-PC" xfId="446"/>
    <cellStyle name="_DEM-WP Revised (HC) Wild Horse 2006GRC_Rebuttal Power Costs" xfId="447"/>
    <cellStyle name="_DEM-WP Revised (HC) Wild Horse 2006GRC_TENASKA REGULATORY ASSET" xfId="448"/>
    <cellStyle name="_DEM-WP(C) Colstrip FOR" xfId="449"/>
    <cellStyle name="_DEM-WP(C) Colstrip FOR_(C) WHE Proforma with ITC cash grant 10 Yr Amort_for rebuttal_120709" xfId="450"/>
    <cellStyle name="_DEM-WP(C) Colstrip FOR_16.07E Wild Horse Wind Expansionwrkingfile" xfId="451"/>
    <cellStyle name="_DEM-WP(C) Colstrip FOR_16.07E Wild Horse Wind Expansionwrkingfile SF" xfId="452"/>
    <cellStyle name="_DEM-WP(C) Colstrip FOR_16.37E Wild Horse Expansion DeferralRevwrkingfile SF" xfId="453"/>
    <cellStyle name="_DEM-WP(C) Colstrip FOR_Adj Bench DR 3 for Initial Briefs (Electric)" xfId="454"/>
    <cellStyle name="_DEM-WP(C) Colstrip FOR_Book2" xfId="455"/>
    <cellStyle name="_DEM-WP(C) Colstrip FOR_Book2_Adj Bench DR 3 for Initial Briefs (Electric)" xfId="456"/>
    <cellStyle name="_DEM-WP(C) Colstrip FOR_Book2_Electric Rev Req Model (2009 GRC) Rebuttal" xfId="457"/>
    <cellStyle name="_DEM-WP(C) Colstrip FOR_Book2_Electric Rev Req Model (2009 GRC) Rebuttal REmoval of New  WH Solar AdjustMI" xfId="458"/>
    <cellStyle name="_DEM-WP(C) Colstrip FOR_Book2_Electric Rev Req Model (2009 GRC) Revised 01-18-2010" xfId="459"/>
    <cellStyle name="_DEM-WP(C) Colstrip FOR_Book2_Final Order Electric EXHIBIT A-1" xfId="460"/>
    <cellStyle name="_DEM-WP(C) Colstrip FOR_Electric Rev Req Model (2009 GRC) Rebuttal" xfId="461"/>
    <cellStyle name="_DEM-WP(C) Colstrip FOR_Electric Rev Req Model (2009 GRC) Rebuttal REmoval of New  WH Solar AdjustMI" xfId="462"/>
    <cellStyle name="_DEM-WP(C) Colstrip FOR_Electric Rev Req Model (2009 GRC) Revised 01-18-2010" xfId="463"/>
    <cellStyle name="_DEM-WP(C) Colstrip FOR_Final Order Electric EXHIBIT A-1" xfId="464"/>
    <cellStyle name="_DEM-WP(C) Colstrip FOR_Rebuttal Power Costs" xfId="465"/>
    <cellStyle name="_DEM-WP(C) Colstrip FOR_Rebuttal Power Costs_Adj Bench DR 3 for Initial Briefs (Electric)" xfId="466"/>
    <cellStyle name="_DEM-WP(C) Colstrip FOR_Rebuttal Power Costs_Electric Rev Req Model (2009 GRC) Rebuttal" xfId="467"/>
    <cellStyle name="_DEM-WP(C) Colstrip FOR_Rebuttal Power Costs_Electric Rev Req Model (2009 GRC) Rebuttal REmoval of New  WH Solar AdjustMI" xfId="468"/>
    <cellStyle name="_DEM-WP(C) Colstrip FOR_Rebuttal Power Costs_Electric Rev Req Model (2009 GRC) Revised 01-18-2010" xfId="469"/>
    <cellStyle name="_DEM-WP(C) Colstrip FOR_Rebuttal Power Costs_Final Order Electric EXHIBIT A-1" xfId="470"/>
    <cellStyle name="_DEM-WP(C) Colstrip FOR_TENASKA REGULATORY ASSET" xfId="471"/>
    <cellStyle name="_DEM-WP(C) Costs not in AURORA 2006GRC" xfId="472"/>
    <cellStyle name="_DEM-WP(C) Costs not in AURORA 2006GRC 2" xfId="473"/>
    <cellStyle name="_DEM-WP(C) Costs not in AURORA 2006GRC_(C) WHE Proforma with ITC cash grant 10 Yr Amort_for deferral_102809" xfId="474"/>
    <cellStyle name="_DEM-WP(C) Costs not in AURORA 2006GRC_(C) WHE Proforma with ITC cash grant 10 Yr Amort_for deferral_102809_16.07E Wild Horse Wind Expansionwrkingfile" xfId="475"/>
    <cellStyle name="_DEM-WP(C) Costs not in AURORA 2006GRC_(C) WHE Proforma with ITC cash grant 10 Yr Amort_for deferral_102809_16.07E Wild Horse Wind Expansionwrkingfile SF" xfId="476"/>
    <cellStyle name="_DEM-WP(C) Costs not in AURORA 2006GRC_(C) WHE Proforma with ITC cash grant 10 Yr Amort_for deferral_102809_16.37E Wild Horse Expansion DeferralRevwrkingfile SF" xfId="477"/>
    <cellStyle name="_DEM-WP(C) Costs not in AURORA 2006GRC_(C) WHE Proforma with ITC cash grant 10 Yr Amort_for rebuttal_120709" xfId="478"/>
    <cellStyle name="_DEM-WP(C) Costs not in AURORA 2006GRC_04.07E Wild Horse Wind Expansion" xfId="479"/>
    <cellStyle name="_DEM-WP(C) Costs not in AURORA 2006GRC_04.07E Wild Horse Wind Expansion_16.07E Wild Horse Wind Expansionwrkingfile" xfId="480"/>
    <cellStyle name="_DEM-WP(C) Costs not in AURORA 2006GRC_04.07E Wild Horse Wind Expansion_16.07E Wild Horse Wind Expansionwrkingfile SF" xfId="481"/>
    <cellStyle name="_DEM-WP(C) Costs not in AURORA 2006GRC_04.07E Wild Horse Wind Expansion_16.37E Wild Horse Expansion DeferralRevwrkingfile SF" xfId="482"/>
    <cellStyle name="_DEM-WP(C) Costs not in AURORA 2006GRC_16.07E Wild Horse Wind Expansionwrkingfile" xfId="483"/>
    <cellStyle name="_DEM-WP(C) Costs not in AURORA 2006GRC_16.07E Wild Horse Wind Expansionwrkingfile SF" xfId="484"/>
    <cellStyle name="_DEM-WP(C) Costs not in AURORA 2006GRC_16.37E Wild Horse Expansion DeferralRevwrkingfile SF" xfId="485"/>
    <cellStyle name="_DEM-WP(C) Costs not in AURORA 2006GRC_2009 GRC Compl Filing - Exhibit D" xfId="486"/>
    <cellStyle name="_DEM-WP(C) Costs not in AURORA 2006GRC_4 31 Regulatory Assets and Liabilities  7 06- Exhibit D" xfId="487"/>
    <cellStyle name="_DEM-WP(C) Costs not in AURORA 2006GRC_4 32 Regulatory Assets and Liabilities  7 06- Exhibit D" xfId="488"/>
    <cellStyle name="_DEM-WP(C) Costs not in AURORA 2006GRC_Book2" xfId="489"/>
    <cellStyle name="_DEM-WP(C) Costs not in AURORA 2006GRC_Book2_Adj Bench DR 3 for Initial Briefs (Electric)" xfId="490"/>
    <cellStyle name="_DEM-WP(C) Costs not in AURORA 2006GRC_Book2_Electric Rev Req Model (2009 GRC) Rebuttal" xfId="491"/>
    <cellStyle name="_DEM-WP(C) Costs not in AURORA 2006GRC_Book2_Electric Rev Req Model (2009 GRC) Rebuttal REmoval of New  WH Solar AdjustMI" xfId="492"/>
    <cellStyle name="_DEM-WP(C) Costs not in AURORA 2006GRC_Book2_Electric Rev Req Model (2009 GRC) Revised 01-18-2010" xfId="493"/>
    <cellStyle name="_DEM-WP(C) Costs not in AURORA 2006GRC_Book2_Final Order Electric EXHIBIT A-1" xfId="494"/>
    <cellStyle name="_DEM-WP(C) Costs not in AURORA 2006GRC_Book4" xfId="495"/>
    <cellStyle name="_DEM-WP(C) Costs not in AURORA 2006GRC_Book9" xfId="496"/>
    <cellStyle name="_DEM-WP(C) Costs not in AURORA 2006GRC_Power Costs - Comparison bx Rbtl-Staff-Jt-PC" xfId="497"/>
    <cellStyle name="_DEM-WP(C) Costs not in AURORA 2006GRC_Power Costs - Comparison bx Rbtl-Staff-Jt-PC_Adj Bench DR 3 for Initial Briefs (Electric)" xfId="498"/>
    <cellStyle name="_DEM-WP(C) Costs not in AURORA 2006GRC_Power Costs - Comparison bx Rbtl-Staff-Jt-PC_Electric Rev Req Model (2009 GRC) Rebuttal" xfId="499"/>
    <cellStyle name="_DEM-WP(C) Costs not in AURORA 2006GRC_Power Costs - Comparison bx Rbtl-Staff-Jt-PC_Electric Rev Req Model (2009 GRC) Rebuttal REmoval of New  WH Solar AdjustMI" xfId="500"/>
    <cellStyle name="_DEM-WP(C) Costs not in AURORA 2006GRC_Power Costs - Comparison bx Rbtl-Staff-Jt-PC_Electric Rev Req Model (2009 GRC) Revised 01-18-2010" xfId="501"/>
    <cellStyle name="_DEM-WP(C) Costs not in AURORA 2006GRC_Power Costs - Comparison bx Rbtl-Staff-Jt-PC_Final Order Electric EXHIBIT A-1" xfId="502"/>
    <cellStyle name="_DEM-WP(C) Costs not in AURORA 2006GRC_Rebuttal Power Costs" xfId="503"/>
    <cellStyle name="_DEM-WP(C) Costs not in AURORA 2006GRC_Rebuttal Power Costs_Adj Bench DR 3 for Initial Briefs (Electric)" xfId="504"/>
    <cellStyle name="_DEM-WP(C) Costs not in AURORA 2006GRC_Rebuttal Power Costs_Electric Rev Req Model (2009 GRC) Rebuttal" xfId="505"/>
    <cellStyle name="_DEM-WP(C) Costs not in AURORA 2006GRC_Rebuttal Power Costs_Electric Rev Req Model (2009 GRC) Rebuttal REmoval of New  WH Solar AdjustMI" xfId="506"/>
    <cellStyle name="_DEM-WP(C) Costs not in AURORA 2006GRC_Rebuttal Power Costs_Electric Rev Req Model (2009 GRC) Revised 01-18-2010" xfId="507"/>
    <cellStyle name="_DEM-WP(C) Costs not in AURORA 2006GRC_Rebuttal Power Costs_Final Order Electric EXHIBIT A-1" xfId="508"/>
    <cellStyle name="_DEM-WP(C) Costs not in AURORA 2007GRC" xfId="509"/>
    <cellStyle name="_DEM-WP(C) Costs not in AURORA 2007GRC_16.37E Wild Horse Expansion DeferralRevwrkingfile SF" xfId="510"/>
    <cellStyle name="_DEM-WP(C) Costs not in AURORA 2007GRC_2009 GRC Compl Filing - Exhibit D" xfId="511"/>
    <cellStyle name="_DEM-WP(C) Costs not in AURORA 2007GRC_Adj Bench DR 3 for Initial Briefs (Electric)" xfId="512"/>
    <cellStyle name="_DEM-WP(C) Costs not in AURORA 2007GRC_Book2" xfId="513"/>
    <cellStyle name="_DEM-WP(C) Costs not in AURORA 2007GRC_Book4" xfId="514"/>
    <cellStyle name="_DEM-WP(C) Costs not in AURORA 2007GRC_Electric Rev Req Model (2009 GRC) " xfId="515"/>
    <cellStyle name="_DEM-WP(C) Costs not in AURORA 2007GRC_Electric Rev Req Model (2009 GRC) Rebuttal" xfId="516"/>
    <cellStyle name="_DEM-WP(C) Costs not in AURORA 2007GRC_Electric Rev Req Model (2009 GRC) Rebuttal REmoval of New  WH Solar AdjustMI" xfId="517"/>
    <cellStyle name="_DEM-WP(C) Costs not in AURORA 2007GRC_Electric Rev Req Model (2009 GRC) Revised 01-18-2010" xfId="518"/>
    <cellStyle name="_DEM-WP(C) Costs not in AURORA 2007GRC_Final Order Electric EXHIBIT A-1" xfId="519"/>
    <cellStyle name="_DEM-WP(C) Costs not in AURORA 2007GRC_Power Costs - Comparison bx Rbtl-Staff-Jt-PC" xfId="520"/>
    <cellStyle name="_DEM-WP(C) Costs not in AURORA 2007GRC_Rebuttal Power Costs" xfId="521"/>
    <cellStyle name="_DEM-WP(C) Costs not in AURORA 2007GRC_TENASKA REGULATORY ASSET" xfId="522"/>
    <cellStyle name="_DEM-WP(C) Costs not in AURORA 2007PCORC-5.07Update" xfId="523"/>
    <cellStyle name="_DEM-WP(C) Costs not in AURORA 2007PCORC-5.07Update_16.37E Wild Horse Expansion DeferralRevwrkingfile SF" xfId="524"/>
    <cellStyle name="_DEM-WP(C) Costs not in AURORA 2007PCORC-5.07Update_2009 GRC Compl Filing - Exhibit D" xfId="525"/>
    <cellStyle name="_DEM-WP(C) Costs not in AURORA 2007PCORC-5.07Update_Adj Bench DR 3 for Initial Briefs (Electric)" xfId="526"/>
    <cellStyle name="_DEM-WP(C) Costs not in AURORA 2007PCORC-5.07Update_Book2" xfId="527"/>
    <cellStyle name="_DEM-WP(C) Costs not in AURORA 2007PCORC-5.07Update_Book4" xfId="528"/>
    <cellStyle name="_DEM-WP(C) Costs not in AURORA 2007PCORC-5.07Update_DEM-WP(C) Production O&amp;M 2009GRC Rebuttal" xfId="529"/>
    <cellStyle name="_DEM-WP(C) Costs not in AURORA 2007PCORC-5.07Update_DEM-WP(C) Production O&amp;M 2009GRC Rebuttal_Adj Bench DR 3 for Initial Briefs (Electric)" xfId="530"/>
    <cellStyle name="_DEM-WP(C) Costs not in AURORA 2007PCORC-5.07Update_DEM-WP(C) Production O&amp;M 2009GRC Rebuttal_Book2" xfId="531"/>
    <cellStyle name="_DEM-WP(C) Costs not in AURORA 2007PCORC-5.07Update_DEM-WP(C) Production O&amp;M 2009GRC Rebuttal_Book2_Adj Bench DR 3 for Initial Briefs (Electric)" xfId="532"/>
    <cellStyle name="_DEM-WP(C) Costs not in AURORA 2007PCORC-5.07Update_DEM-WP(C) Production O&amp;M 2009GRC Rebuttal_Book2_Electric Rev Req Model (2009 GRC) Rebuttal" xfId="533"/>
    <cellStyle name="_DEM-WP(C) Costs not in AURORA 2007PCORC-5.07Update_DEM-WP(C) Production O&amp;M 2009GRC Rebuttal_Book2_Electric Rev Req Model (2009 GRC) Rebuttal REmoval of New  WH Solar AdjustMI" xfId="534"/>
    <cellStyle name="_DEM-WP(C) Costs not in AURORA 2007PCORC-5.07Update_DEM-WP(C) Production O&amp;M 2009GRC Rebuttal_Book2_Electric Rev Req Model (2009 GRC) Revised 01-18-2010" xfId="535"/>
    <cellStyle name="_DEM-WP(C) Costs not in AURORA 2007PCORC-5.07Update_DEM-WP(C) Production O&amp;M 2009GRC Rebuttal_Book2_Final Order Electric EXHIBIT A-1" xfId="536"/>
    <cellStyle name="_DEM-WP(C) Costs not in AURORA 2007PCORC-5.07Update_DEM-WP(C) Production O&amp;M 2009GRC Rebuttal_Electric Rev Req Model (2009 GRC) Rebuttal" xfId="537"/>
    <cellStyle name="_DEM-WP(C) Costs not in AURORA 2007PCORC-5.07Update_DEM-WP(C) Production O&amp;M 2009GRC Rebuttal_Electric Rev Req Model (2009 GRC) Rebuttal REmoval of New  WH Solar AdjustMI" xfId="538"/>
    <cellStyle name="_DEM-WP(C) Costs not in AURORA 2007PCORC-5.07Update_DEM-WP(C) Production O&amp;M 2009GRC Rebuttal_Electric Rev Req Model (2009 GRC) Revised 01-18-2010" xfId="539"/>
    <cellStyle name="_DEM-WP(C) Costs not in AURORA 2007PCORC-5.07Update_DEM-WP(C) Production O&amp;M 2009GRC Rebuttal_Final Order Electric EXHIBIT A-1" xfId="540"/>
    <cellStyle name="_DEM-WP(C) Costs not in AURORA 2007PCORC-5.07Update_DEM-WP(C) Production O&amp;M 2009GRC Rebuttal_Rebuttal Power Costs" xfId="541"/>
    <cellStyle name="_DEM-WP(C) Costs not in AURORA 2007PCORC-5.07Update_DEM-WP(C) Production O&amp;M 2009GRC Rebuttal_Rebuttal Power Costs_Adj Bench DR 3 for Initial Briefs (Electric)" xfId="542"/>
    <cellStyle name="_DEM-WP(C) Costs not in AURORA 2007PCORC-5.07Update_DEM-WP(C) Production O&amp;M 2009GRC Rebuttal_Rebuttal Power Costs_Electric Rev Req Model (2009 GRC) Rebuttal" xfId="543"/>
    <cellStyle name="_DEM-WP(C) Costs not in AURORA 2007PCORC-5.07Update_DEM-WP(C) Production O&amp;M 2009GRC Rebuttal_Rebuttal Power Costs_Electric Rev Req Model (2009 GRC) Rebuttal REmoval of New  WH Solar AdjustMI" xfId="544"/>
    <cellStyle name="_DEM-WP(C) Costs not in AURORA 2007PCORC-5.07Update_DEM-WP(C) Production O&amp;M 2009GRC Rebuttal_Rebuttal Power Costs_Electric Rev Req Model (2009 GRC) Revised 01-18-2010" xfId="545"/>
    <cellStyle name="_DEM-WP(C) Costs not in AURORA 2007PCORC-5.07Update_DEM-WP(C) Production O&amp;M 2009GRC Rebuttal_Rebuttal Power Costs_Final Order Electric EXHIBIT A-1" xfId="546"/>
    <cellStyle name="_DEM-WP(C) Costs not in AURORA 2007PCORC-5.07Update_Electric Rev Req Model (2009 GRC) " xfId="547"/>
    <cellStyle name="_DEM-WP(C) Costs not in AURORA 2007PCORC-5.07Update_Electric Rev Req Model (2009 GRC) Rebuttal" xfId="548"/>
    <cellStyle name="_DEM-WP(C) Costs not in AURORA 2007PCORC-5.07Update_Electric Rev Req Model (2009 GRC) Rebuttal REmoval of New  WH Solar AdjustMI" xfId="549"/>
    <cellStyle name="_DEM-WP(C) Costs not in AURORA 2007PCORC-5.07Update_Electric Rev Req Model (2009 GRC) Revised 01-18-2010" xfId="550"/>
    <cellStyle name="_DEM-WP(C) Costs not in AURORA 2007PCORC-5.07Update_Final Order Electric EXHIBIT A-1" xfId="551"/>
    <cellStyle name="_DEM-WP(C) Costs not in AURORA 2007PCORC-5.07Update_Power Costs - Comparison bx Rbtl-Staff-Jt-PC" xfId="552"/>
    <cellStyle name="_DEM-WP(C) Costs not in AURORA 2007PCORC-5.07Update_Rebuttal Power Costs" xfId="553"/>
    <cellStyle name="_DEM-WP(C) Costs not in AURORA 2007PCORC-5.07Update_TENASKA REGULATORY ASSET" xfId="554"/>
    <cellStyle name="_DEM-WP(C) Prod O&amp;M 2007GRC" xfId="555"/>
    <cellStyle name="_DEM-WP(C) Prod O&amp;M 2007GRC_Adj Bench DR 3 for Initial Briefs (Electric)" xfId="556"/>
    <cellStyle name="_DEM-WP(C) Prod O&amp;M 2007GRC_Book2" xfId="557"/>
    <cellStyle name="_DEM-WP(C) Prod O&amp;M 2007GRC_Book2_Adj Bench DR 3 for Initial Briefs (Electric)" xfId="558"/>
    <cellStyle name="_DEM-WP(C) Prod O&amp;M 2007GRC_Book2_Electric Rev Req Model (2009 GRC) Rebuttal" xfId="559"/>
    <cellStyle name="_DEM-WP(C) Prod O&amp;M 2007GRC_Book2_Electric Rev Req Model (2009 GRC) Rebuttal REmoval of New  WH Solar AdjustMI" xfId="560"/>
    <cellStyle name="_DEM-WP(C) Prod O&amp;M 2007GRC_Book2_Electric Rev Req Model (2009 GRC) Revised 01-18-2010" xfId="561"/>
    <cellStyle name="_DEM-WP(C) Prod O&amp;M 2007GRC_Book2_Final Order Electric EXHIBIT A-1" xfId="562"/>
    <cellStyle name="_DEM-WP(C) Prod O&amp;M 2007GRC_Electric Rev Req Model (2009 GRC) Rebuttal" xfId="563"/>
    <cellStyle name="_DEM-WP(C) Prod O&amp;M 2007GRC_Electric Rev Req Model (2009 GRC) Rebuttal REmoval of New  WH Solar AdjustMI" xfId="564"/>
    <cellStyle name="_DEM-WP(C) Prod O&amp;M 2007GRC_Electric Rev Req Model (2009 GRC) Revised 01-18-2010" xfId="565"/>
    <cellStyle name="_DEM-WP(C) Prod O&amp;M 2007GRC_Final Order Electric EXHIBIT A-1" xfId="566"/>
    <cellStyle name="_DEM-WP(C) Prod O&amp;M 2007GRC_Rebuttal Power Costs" xfId="567"/>
    <cellStyle name="_DEM-WP(C) Prod O&amp;M 2007GRC_Rebuttal Power Costs_Adj Bench DR 3 for Initial Briefs (Electric)" xfId="568"/>
    <cellStyle name="_DEM-WP(C) Prod O&amp;M 2007GRC_Rebuttal Power Costs_Electric Rev Req Model (2009 GRC) Rebuttal" xfId="569"/>
    <cellStyle name="_DEM-WP(C) Prod O&amp;M 2007GRC_Rebuttal Power Costs_Electric Rev Req Model (2009 GRC) Rebuttal REmoval of New  WH Solar AdjustMI" xfId="570"/>
    <cellStyle name="_DEM-WP(C) Prod O&amp;M 2007GRC_Rebuttal Power Costs_Electric Rev Req Model (2009 GRC) Revised 01-18-2010" xfId="571"/>
    <cellStyle name="_DEM-WP(C) Prod O&amp;M 2007GRC_Rebuttal Power Costs_Final Order Electric EXHIBIT A-1" xfId="572"/>
    <cellStyle name="_DEM-WP(C) Rate Year Sumas by Month Update Corrected" xfId="573"/>
    <cellStyle name="_DEM-WP(C) Sumas Proforma 11.5.07" xfId="574"/>
    <cellStyle name="_DEM-WP(C) Westside Hydro Data_051007" xfId="575"/>
    <cellStyle name="_DEM-WP(C) Westside Hydro Data_051007_16.37E Wild Horse Expansion DeferralRevwrkingfile SF" xfId="576"/>
    <cellStyle name="_DEM-WP(C) Westside Hydro Data_051007_2009 GRC Compl Filing - Exhibit D" xfId="577"/>
    <cellStyle name="_DEM-WP(C) Westside Hydro Data_051007_Adj Bench DR 3 for Initial Briefs (Electric)" xfId="578"/>
    <cellStyle name="_DEM-WP(C) Westside Hydro Data_051007_Book2" xfId="579"/>
    <cellStyle name="_DEM-WP(C) Westside Hydro Data_051007_Book4" xfId="580"/>
    <cellStyle name="_DEM-WP(C) Westside Hydro Data_051007_Electric Rev Req Model (2009 GRC) " xfId="581"/>
    <cellStyle name="_DEM-WP(C) Westside Hydro Data_051007_Electric Rev Req Model (2009 GRC) Rebuttal" xfId="582"/>
    <cellStyle name="_DEM-WP(C) Westside Hydro Data_051007_Electric Rev Req Model (2009 GRC) Rebuttal REmoval of New  WH Solar AdjustMI" xfId="583"/>
    <cellStyle name="_DEM-WP(C) Westside Hydro Data_051007_Electric Rev Req Model (2009 GRC) Revised 01-18-2010" xfId="584"/>
    <cellStyle name="_DEM-WP(C) Westside Hydro Data_051007_Final Order Electric EXHIBIT A-1" xfId="585"/>
    <cellStyle name="_DEM-WP(C) Westside Hydro Data_051007_Power Costs - Comparison bx Rbtl-Staff-Jt-PC" xfId="586"/>
    <cellStyle name="_DEM-WP(C) Westside Hydro Data_051007_Rebuttal Power Costs" xfId="587"/>
    <cellStyle name="_DEM-WP(C) Westside Hydro Data_051007_TENASKA REGULATORY ASSET" xfId="588"/>
    <cellStyle name="_x0013__Electric Rev Req Model (2009 GRC) " xfId="589"/>
    <cellStyle name="_x0013__Electric Rev Req Model (2009 GRC) Rebuttal" xfId="590"/>
    <cellStyle name="_x0013__Electric Rev Req Model (2009 GRC) Rebuttal REmoval of New  WH Solar AdjustMI" xfId="591"/>
    <cellStyle name="_x0013__Electric Rev Req Model (2009 GRC) Revised 01-18-2010" xfId="592"/>
    <cellStyle name="_x0013__Final Order Electric EXHIBIT A-1" xfId="593"/>
    <cellStyle name="_Fixed Gas Transport 1 19 09" xfId="594"/>
    <cellStyle name="_Fuel Prices 4-14" xfId="595"/>
    <cellStyle name="_Fuel Prices 4-14 2" xfId="596"/>
    <cellStyle name="_Fuel Prices 4-14_04 07E Wild Horse Wind Expansion (C) (2)" xfId="597"/>
    <cellStyle name="_Fuel Prices 4-14_04 07E Wild Horse Wind Expansion (C) (2)_Adj Bench DR 3 for Initial Briefs (Electric)" xfId="598"/>
    <cellStyle name="_Fuel Prices 4-14_04 07E Wild Horse Wind Expansion (C) (2)_Electric Rev Req Model (2009 GRC) " xfId="599"/>
    <cellStyle name="_Fuel Prices 4-14_04 07E Wild Horse Wind Expansion (C) (2)_Electric Rev Req Model (2009 GRC) Rebuttal" xfId="600"/>
    <cellStyle name="_Fuel Prices 4-14_04 07E Wild Horse Wind Expansion (C) (2)_Electric Rev Req Model (2009 GRC) Rebuttal REmoval of New  WH Solar AdjustMI" xfId="601"/>
    <cellStyle name="_Fuel Prices 4-14_04 07E Wild Horse Wind Expansion (C) (2)_Electric Rev Req Model (2009 GRC) Revised 01-18-2010" xfId="602"/>
    <cellStyle name="_Fuel Prices 4-14_04 07E Wild Horse Wind Expansion (C) (2)_Final Order Electric EXHIBIT A-1" xfId="603"/>
    <cellStyle name="_Fuel Prices 4-14_04 07E Wild Horse Wind Expansion (C) (2)_TENASKA REGULATORY ASSET" xfId="604"/>
    <cellStyle name="_Fuel Prices 4-14_16.37E Wild Horse Expansion DeferralRevwrkingfile SF" xfId="605"/>
    <cellStyle name="_Fuel Prices 4-14_2009 GRC Compl Filing - Exhibit D" xfId="606"/>
    <cellStyle name="_Fuel Prices 4-14_4 31 Regulatory Assets and Liabilities  7 06- Exhibit D" xfId="607"/>
    <cellStyle name="_Fuel Prices 4-14_4 32 Regulatory Assets and Liabilities  7 06- Exhibit D" xfId="608"/>
    <cellStyle name="_Fuel Prices 4-14_Book2" xfId="609"/>
    <cellStyle name="_Fuel Prices 4-14_Book2_Adj Bench DR 3 for Initial Briefs (Electric)" xfId="610"/>
    <cellStyle name="_Fuel Prices 4-14_Book2_Electric Rev Req Model (2009 GRC) Rebuttal" xfId="611"/>
    <cellStyle name="_Fuel Prices 4-14_Book2_Electric Rev Req Model (2009 GRC) Rebuttal REmoval of New  WH Solar AdjustMI" xfId="612"/>
    <cellStyle name="_Fuel Prices 4-14_Book2_Electric Rev Req Model (2009 GRC) Revised 01-18-2010" xfId="613"/>
    <cellStyle name="_Fuel Prices 4-14_Book2_Final Order Electric EXHIBIT A-1" xfId="614"/>
    <cellStyle name="_Fuel Prices 4-14_Book4" xfId="615"/>
    <cellStyle name="_Fuel Prices 4-14_Book9" xfId="616"/>
    <cellStyle name="_Fuel Prices 4-14_Power Costs - Comparison bx Rbtl-Staff-Jt-PC" xfId="617"/>
    <cellStyle name="_Fuel Prices 4-14_Power Costs - Comparison bx Rbtl-Staff-Jt-PC_Adj Bench DR 3 for Initial Briefs (Electric)" xfId="618"/>
    <cellStyle name="_Fuel Prices 4-14_Power Costs - Comparison bx Rbtl-Staff-Jt-PC_Electric Rev Req Model (2009 GRC) Rebuttal" xfId="619"/>
    <cellStyle name="_Fuel Prices 4-14_Power Costs - Comparison bx Rbtl-Staff-Jt-PC_Electric Rev Req Model (2009 GRC) Rebuttal REmoval of New  WH Solar AdjustMI" xfId="620"/>
    <cellStyle name="_Fuel Prices 4-14_Power Costs - Comparison bx Rbtl-Staff-Jt-PC_Electric Rev Req Model (2009 GRC) Revised 01-18-2010" xfId="621"/>
    <cellStyle name="_Fuel Prices 4-14_Power Costs - Comparison bx Rbtl-Staff-Jt-PC_Final Order Electric EXHIBIT A-1" xfId="622"/>
    <cellStyle name="_Fuel Prices 4-14_Rebuttal Power Costs" xfId="623"/>
    <cellStyle name="_Fuel Prices 4-14_Rebuttal Power Costs_Adj Bench DR 3 for Initial Briefs (Electric)" xfId="624"/>
    <cellStyle name="_Fuel Prices 4-14_Rebuttal Power Costs_Electric Rev Req Model (2009 GRC) Rebuttal" xfId="625"/>
    <cellStyle name="_Fuel Prices 4-14_Rebuttal Power Costs_Electric Rev Req Model (2009 GRC) Rebuttal REmoval of New  WH Solar AdjustMI" xfId="626"/>
    <cellStyle name="_Fuel Prices 4-14_Rebuttal Power Costs_Electric Rev Req Model (2009 GRC) Revised 01-18-2010" xfId="627"/>
    <cellStyle name="_Fuel Prices 4-14_Rebuttal Power Costs_Final Order Electric EXHIBIT A-1" xfId="628"/>
    <cellStyle name="_Gas Transportation Charges_2009GRC_120308" xfId="629"/>
    <cellStyle name="_NIM 06 Base Case Current Trends" xfId="630"/>
    <cellStyle name="_NIM 06 Base Case Current Trends_Adj Bench DR 3 for Initial Briefs (Electric)" xfId="631"/>
    <cellStyle name="_NIM 06 Base Case Current Trends_Book2" xfId="632"/>
    <cellStyle name="_NIM 06 Base Case Current Trends_Book2_Adj Bench DR 3 for Initial Briefs (Electric)" xfId="633"/>
    <cellStyle name="_NIM 06 Base Case Current Trends_Book2_Electric Rev Req Model (2009 GRC) Rebuttal" xfId="634"/>
    <cellStyle name="_NIM 06 Base Case Current Trends_Book2_Electric Rev Req Model (2009 GRC) Rebuttal REmoval of New  WH Solar AdjustMI" xfId="635"/>
    <cellStyle name="_NIM 06 Base Case Current Trends_Book2_Electric Rev Req Model (2009 GRC) Revised 01-18-2010" xfId="636"/>
    <cellStyle name="_NIM 06 Base Case Current Trends_Book2_Final Order Electric EXHIBIT A-1" xfId="637"/>
    <cellStyle name="_NIM 06 Base Case Current Trends_Electric Rev Req Model (2009 GRC) " xfId="638"/>
    <cellStyle name="_NIM 06 Base Case Current Trends_Electric Rev Req Model (2009 GRC) Rebuttal" xfId="639"/>
    <cellStyle name="_NIM 06 Base Case Current Trends_Electric Rev Req Model (2009 GRC) Rebuttal REmoval of New  WH Solar AdjustMI" xfId="640"/>
    <cellStyle name="_NIM 06 Base Case Current Trends_Electric Rev Req Model (2009 GRC) Revised 01-18-2010" xfId="641"/>
    <cellStyle name="_NIM 06 Base Case Current Trends_Final Order Electric EXHIBIT A-1" xfId="642"/>
    <cellStyle name="_NIM 06 Base Case Current Trends_Rebuttal Power Costs" xfId="643"/>
    <cellStyle name="_NIM 06 Base Case Current Trends_Rebuttal Power Costs_Adj Bench DR 3 for Initial Briefs (Electric)" xfId="644"/>
    <cellStyle name="_NIM 06 Base Case Current Trends_Rebuttal Power Costs_Electric Rev Req Model (2009 GRC) Rebuttal" xfId="645"/>
    <cellStyle name="_NIM 06 Base Case Current Trends_Rebuttal Power Costs_Electric Rev Req Model (2009 GRC) Rebuttal REmoval of New  WH Solar AdjustMI" xfId="646"/>
    <cellStyle name="_NIM 06 Base Case Current Trends_Rebuttal Power Costs_Electric Rev Req Model (2009 GRC) Revised 01-18-2010" xfId="647"/>
    <cellStyle name="_NIM 06 Base Case Current Trends_Rebuttal Power Costs_Final Order Electric EXHIBIT A-1" xfId="648"/>
    <cellStyle name="_NIM 06 Base Case Current Trends_TENASKA REGULATORY ASSET" xfId="649"/>
    <cellStyle name="_Portfolio SPlan Base Case.xls Chart 1" xfId="650"/>
    <cellStyle name="_Portfolio SPlan Base Case.xls Chart 1_Adj Bench DR 3 for Initial Briefs (Electric)" xfId="651"/>
    <cellStyle name="_Portfolio SPlan Base Case.xls Chart 1_Book2" xfId="652"/>
    <cellStyle name="_Portfolio SPlan Base Case.xls Chart 1_Book2_Adj Bench DR 3 for Initial Briefs (Electric)" xfId="653"/>
    <cellStyle name="_Portfolio SPlan Base Case.xls Chart 1_Book2_Electric Rev Req Model (2009 GRC) Rebuttal" xfId="654"/>
    <cellStyle name="_Portfolio SPlan Base Case.xls Chart 1_Book2_Electric Rev Req Model (2009 GRC) Rebuttal REmoval of New  WH Solar AdjustMI" xfId="655"/>
    <cellStyle name="_Portfolio SPlan Base Case.xls Chart 1_Book2_Electric Rev Req Model (2009 GRC) Revised 01-18-2010" xfId="656"/>
    <cellStyle name="_Portfolio SPlan Base Case.xls Chart 1_Book2_Final Order Electric EXHIBIT A-1" xfId="657"/>
    <cellStyle name="_Portfolio SPlan Base Case.xls Chart 1_Electric Rev Req Model (2009 GRC) " xfId="658"/>
    <cellStyle name="_Portfolio SPlan Base Case.xls Chart 1_Electric Rev Req Model (2009 GRC) Rebuttal" xfId="659"/>
    <cellStyle name="_Portfolio SPlan Base Case.xls Chart 1_Electric Rev Req Model (2009 GRC) Rebuttal REmoval of New  WH Solar AdjustMI" xfId="660"/>
    <cellStyle name="_Portfolio SPlan Base Case.xls Chart 1_Electric Rev Req Model (2009 GRC) Revised 01-18-2010" xfId="661"/>
    <cellStyle name="_Portfolio SPlan Base Case.xls Chart 1_Final Order Electric EXHIBIT A-1" xfId="662"/>
    <cellStyle name="_Portfolio SPlan Base Case.xls Chart 1_Rebuttal Power Costs" xfId="663"/>
    <cellStyle name="_Portfolio SPlan Base Case.xls Chart 1_Rebuttal Power Costs_Adj Bench DR 3 for Initial Briefs (Electric)" xfId="664"/>
    <cellStyle name="_Portfolio SPlan Base Case.xls Chart 1_Rebuttal Power Costs_Electric Rev Req Model (2009 GRC) Rebuttal" xfId="665"/>
    <cellStyle name="_Portfolio SPlan Base Case.xls Chart 1_Rebuttal Power Costs_Electric Rev Req Model (2009 GRC) Rebuttal REmoval of New  WH Solar AdjustMI" xfId="666"/>
    <cellStyle name="_Portfolio SPlan Base Case.xls Chart 1_Rebuttal Power Costs_Electric Rev Req Model (2009 GRC) Revised 01-18-2010" xfId="667"/>
    <cellStyle name="_Portfolio SPlan Base Case.xls Chart 1_Rebuttal Power Costs_Final Order Electric EXHIBIT A-1" xfId="668"/>
    <cellStyle name="_Portfolio SPlan Base Case.xls Chart 1_TENASKA REGULATORY ASSET" xfId="669"/>
    <cellStyle name="_Portfolio SPlan Base Case.xls Chart 2" xfId="670"/>
    <cellStyle name="_Portfolio SPlan Base Case.xls Chart 2_Adj Bench DR 3 for Initial Briefs (Electric)" xfId="671"/>
    <cellStyle name="_Portfolio SPlan Base Case.xls Chart 2_Book2" xfId="672"/>
    <cellStyle name="_Portfolio SPlan Base Case.xls Chart 2_Book2_Adj Bench DR 3 for Initial Briefs (Electric)" xfId="673"/>
    <cellStyle name="_Portfolio SPlan Base Case.xls Chart 2_Book2_Electric Rev Req Model (2009 GRC) Rebuttal" xfId="674"/>
    <cellStyle name="_Portfolio SPlan Base Case.xls Chart 2_Book2_Electric Rev Req Model (2009 GRC) Rebuttal REmoval of New  WH Solar AdjustMI" xfId="675"/>
    <cellStyle name="_Portfolio SPlan Base Case.xls Chart 2_Book2_Electric Rev Req Model (2009 GRC) Revised 01-18-2010" xfId="676"/>
    <cellStyle name="_Portfolio SPlan Base Case.xls Chart 2_Book2_Final Order Electric EXHIBIT A-1" xfId="677"/>
    <cellStyle name="_Portfolio SPlan Base Case.xls Chart 2_Electric Rev Req Model (2009 GRC) " xfId="678"/>
    <cellStyle name="_Portfolio SPlan Base Case.xls Chart 2_Electric Rev Req Model (2009 GRC) Rebuttal" xfId="679"/>
    <cellStyle name="_Portfolio SPlan Base Case.xls Chart 2_Electric Rev Req Model (2009 GRC) Rebuttal REmoval of New  WH Solar AdjustMI" xfId="680"/>
    <cellStyle name="_Portfolio SPlan Base Case.xls Chart 2_Electric Rev Req Model (2009 GRC) Revised 01-18-2010" xfId="681"/>
    <cellStyle name="_Portfolio SPlan Base Case.xls Chart 2_Final Order Electric EXHIBIT A-1" xfId="682"/>
    <cellStyle name="_Portfolio SPlan Base Case.xls Chart 2_Rebuttal Power Costs" xfId="683"/>
    <cellStyle name="_Portfolio SPlan Base Case.xls Chart 2_Rebuttal Power Costs_Adj Bench DR 3 for Initial Briefs (Electric)" xfId="684"/>
    <cellStyle name="_Portfolio SPlan Base Case.xls Chart 2_Rebuttal Power Costs_Electric Rev Req Model (2009 GRC) Rebuttal" xfId="685"/>
    <cellStyle name="_Portfolio SPlan Base Case.xls Chart 2_Rebuttal Power Costs_Electric Rev Req Model (2009 GRC) Rebuttal REmoval of New  WH Solar AdjustMI" xfId="686"/>
    <cellStyle name="_Portfolio SPlan Base Case.xls Chart 2_Rebuttal Power Costs_Electric Rev Req Model (2009 GRC) Revised 01-18-2010" xfId="687"/>
    <cellStyle name="_Portfolio SPlan Base Case.xls Chart 2_Rebuttal Power Costs_Final Order Electric EXHIBIT A-1" xfId="688"/>
    <cellStyle name="_Portfolio SPlan Base Case.xls Chart 2_TENASKA REGULATORY ASSET" xfId="689"/>
    <cellStyle name="_Portfolio SPlan Base Case.xls Chart 3" xfId="690"/>
    <cellStyle name="_Portfolio SPlan Base Case.xls Chart 3_Adj Bench DR 3 for Initial Briefs (Electric)" xfId="691"/>
    <cellStyle name="_Portfolio SPlan Base Case.xls Chart 3_Book2" xfId="692"/>
    <cellStyle name="_Portfolio SPlan Base Case.xls Chart 3_Book2_Adj Bench DR 3 for Initial Briefs (Electric)" xfId="693"/>
    <cellStyle name="_Portfolio SPlan Base Case.xls Chart 3_Book2_Electric Rev Req Model (2009 GRC) Rebuttal" xfId="694"/>
    <cellStyle name="_Portfolio SPlan Base Case.xls Chart 3_Book2_Electric Rev Req Model (2009 GRC) Rebuttal REmoval of New  WH Solar AdjustMI" xfId="695"/>
    <cellStyle name="_Portfolio SPlan Base Case.xls Chart 3_Book2_Electric Rev Req Model (2009 GRC) Revised 01-18-2010" xfId="696"/>
    <cellStyle name="_Portfolio SPlan Base Case.xls Chart 3_Book2_Final Order Electric EXHIBIT A-1" xfId="697"/>
    <cellStyle name="_Portfolio SPlan Base Case.xls Chart 3_Electric Rev Req Model (2009 GRC) " xfId="698"/>
    <cellStyle name="_Portfolio SPlan Base Case.xls Chart 3_Electric Rev Req Model (2009 GRC) Rebuttal" xfId="699"/>
    <cellStyle name="_Portfolio SPlan Base Case.xls Chart 3_Electric Rev Req Model (2009 GRC) Rebuttal REmoval of New  WH Solar AdjustMI" xfId="700"/>
    <cellStyle name="_Portfolio SPlan Base Case.xls Chart 3_Electric Rev Req Model (2009 GRC) Revised 01-18-2010" xfId="701"/>
    <cellStyle name="_Portfolio SPlan Base Case.xls Chart 3_Final Order Electric EXHIBIT A-1" xfId="702"/>
    <cellStyle name="_Portfolio SPlan Base Case.xls Chart 3_Rebuttal Power Costs" xfId="703"/>
    <cellStyle name="_Portfolio SPlan Base Case.xls Chart 3_Rebuttal Power Costs_Adj Bench DR 3 for Initial Briefs (Electric)" xfId="704"/>
    <cellStyle name="_Portfolio SPlan Base Case.xls Chart 3_Rebuttal Power Costs_Electric Rev Req Model (2009 GRC) Rebuttal" xfId="705"/>
    <cellStyle name="_Portfolio SPlan Base Case.xls Chart 3_Rebuttal Power Costs_Electric Rev Req Model (2009 GRC) Rebuttal REmoval of New  WH Solar AdjustMI" xfId="706"/>
    <cellStyle name="_Portfolio SPlan Base Case.xls Chart 3_Rebuttal Power Costs_Electric Rev Req Model (2009 GRC) Revised 01-18-2010" xfId="707"/>
    <cellStyle name="_Portfolio SPlan Base Case.xls Chart 3_Rebuttal Power Costs_Final Order Electric EXHIBIT A-1" xfId="708"/>
    <cellStyle name="_Portfolio SPlan Base Case.xls Chart 3_TENASKA REGULATORY ASSET" xfId="709"/>
    <cellStyle name="_Power Cost Value Copy 11.30.05 gas 1.09.06 AURORA at 1.10.06" xfId="710"/>
    <cellStyle name="_Power Cost Value Copy 11.30.05 gas 1.09.06 AURORA at 1.10.06 2" xfId="711"/>
    <cellStyle name="_Power Cost Value Copy 11.30.05 gas 1.09.06 AURORA at 1.10.06_04 07E Wild Horse Wind Expansion (C) (2)" xfId="712"/>
    <cellStyle name="_Power Cost Value Copy 11.30.05 gas 1.09.06 AURORA at 1.10.06_04 07E Wild Horse Wind Expansion (C) (2)_Adj Bench DR 3 for Initial Briefs (Electric)" xfId="713"/>
    <cellStyle name="_Power Cost Value Copy 11.30.05 gas 1.09.06 AURORA at 1.10.06_04 07E Wild Horse Wind Expansion (C) (2)_Electric Rev Req Model (2009 GRC) " xfId="714"/>
    <cellStyle name="_Power Cost Value Copy 11.30.05 gas 1.09.06 AURORA at 1.10.06_04 07E Wild Horse Wind Expansion (C) (2)_Electric Rev Req Model (2009 GRC) Rebuttal" xfId="715"/>
    <cellStyle name="_Power Cost Value Copy 11.30.05 gas 1.09.06 AURORA at 1.10.06_04 07E Wild Horse Wind Expansion (C) (2)_Electric Rev Req Model (2009 GRC) Rebuttal REmoval of New  WH Solar AdjustMI" xfId="716"/>
    <cellStyle name="_Power Cost Value Copy 11.30.05 gas 1.09.06 AURORA at 1.10.06_04 07E Wild Horse Wind Expansion (C) (2)_Electric Rev Req Model (2009 GRC) Revised 01-18-2010" xfId="717"/>
    <cellStyle name="_Power Cost Value Copy 11.30.05 gas 1.09.06 AURORA at 1.10.06_04 07E Wild Horse Wind Expansion (C) (2)_Final Order Electric EXHIBIT A-1" xfId="718"/>
    <cellStyle name="_Power Cost Value Copy 11.30.05 gas 1.09.06 AURORA at 1.10.06_04 07E Wild Horse Wind Expansion (C) (2)_TENASKA REGULATORY ASSET" xfId="719"/>
    <cellStyle name="_Power Cost Value Copy 11.30.05 gas 1.09.06 AURORA at 1.10.06_16.37E Wild Horse Expansion DeferralRevwrkingfile SF" xfId="720"/>
    <cellStyle name="_Power Cost Value Copy 11.30.05 gas 1.09.06 AURORA at 1.10.06_4 31 Regulatory Assets and Liabilities  7 06- Exhibit D" xfId="721"/>
    <cellStyle name="_Power Cost Value Copy 11.30.05 gas 1.09.06 AURORA at 1.10.06_4 32 Regulatory Assets and Liabilities  7 06- Exhibit D" xfId="722"/>
    <cellStyle name="_Power Cost Value Copy 11.30.05 gas 1.09.06 AURORA at 1.10.06_Book2" xfId="723"/>
    <cellStyle name="_Power Cost Value Copy 11.30.05 gas 1.09.06 AURORA at 1.10.06_Book2_Adj Bench DR 3 for Initial Briefs (Electric)" xfId="724"/>
    <cellStyle name="_Power Cost Value Copy 11.30.05 gas 1.09.06 AURORA at 1.10.06_Book2_Electric Rev Req Model (2009 GRC) Rebuttal" xfId="725"/>
    <cellStyle name="_Power Cost Value Copy 11.30.05 gas 1.09.06 AURORA at 1.10.06_Book2_Electric Rev Req Model (2009 GRC) Rebuttal REmoval of New  WH Solar AdjustMI" xfId="726"/>
    <cellStyle name="_Power Cost Value Copy 11.30.05 gas 1.09.06 AURORA at 1.10.06_Book2_Electric Rev Req Model (2009 GRC) Revised 01-18-2010" xfId="727"/>
    <cellStyle name="_Power Cost Value Copy 11.30.05 gas 1.09.06 AURORA at 1.10.06_Book2_Final Order Electric EXHIBIT A-1" xfId="728"/>
    <cellStyle name="_Power Cost Value Copy 11.30.05 gas 1.09.06 AURORA at 1.10.06_Book4" xfId="729"/>
    <cellStyle name="_Power Cost Value Copy 11.30.05 gas 1.09.06 AURORA at 1.10.06_Book9" xfId="730"/>
    <cellStyle name="_Power Cost Value Copy 11.30.05 gas 1.09.06 AURORA at 1.10.06_Power Costs - Comparison bx Rbtl-Staff-Jt-PC" xfId="731"/>
    <cellStyle name="_Power Cost Value Copy 11.30.05 gas 1.09.06 AURORA at 1.10.06_Power Costs - Comparison bx Rbtl-Staff-Jt-PC_Adj Bench DR 3 for Initial Briefs (Electric)" xfId="732"/>
    <cellStyle name="_Power Cost Value Copy 11.30.05 gas 1.09.06 AURORA at 1.10.06_Power Costs - Comparison bx Rbtl-Staff-Jt-PC_Electric Rev Req Model (2009 GRC) Rebuttal" xfId="733"/>
    <cellStyle name="_Power Cost Value Copy 11.30.05 gas 1.09.06 AURORA at 1.10.06_Power Costs - Comparison bx Rbtl-Staff-Jt-PC_Electric Rev Req Model (2009 GRC) Rebuttal REmoval of New  WH Solar AdjustMI" xfId="734"/>
    <cellStyle name="_Power Cost Value Copy 11.30.05 gas 1.09.06 AURORA at 1.10.06_Power Costs - Comparison bx Rbtl-Staff-Jt-PC_Electric Rev Req Model (2009 GRC) Revised 01-18-2010" xfId="735"/>
    <cellStyle name="_Power Cost Value Copy 11.30.05 gas 1.09.06 AURORA at 1.10.06_Power Costs - Comparison bx Rbtl-Staff-Jt-PC_Final Order Electric EXHIBIT A-1" xfId="736"/>
    <cellStyle name="_Power Cost Value Copy 11.30.05 gas 1.09.06 AURORA at 1.10.06_Rebuttal Power Costs" xfId="737"/>
    <cellStyle name="_Power Cost Value Copy 11.30.05 gas 1.09.06 AURORA at 1.10.06_Rebuttal Power Costs_Adj Bench DR 3 for Initial Briefs (Electric)" xfId="738"/>
    <cellStyle name="_Power Cost Value Copy 11.30.05 gas 1.09.06 AURORA at 1.10.06_Rebuttal Power Costs_Electric Rev Req Model (2009 GRC) Rebuttal" xfId="739"/>
    <cellStyle name="_Power Cost Value Copy 11.30.05 gas 1.09.06 AURORA at 1.10.06_Rebuttal Power Costs_Electric Rev Req Model (2009 GRC) Rebuttal REmoval of New  WH Solar AdjustMI" xfId="740"/>
    <cellStyle name="_Power Cost Value Copy 11.30.05 gas 1.09.06 AURORA at 1.10.06_Rebuttal Power Costs_Electric Rev Req Model (2009 GRC) Revised 01-18-2010" xfId="741"/>
    <cellStyle name="_Power Cost Value Copy 11.30.05 gas 1.09.06 AURORA at 1.10.06_Rebuttal Power Costs_Final Order Electric EXHIBIT A-1" xfId="742"/>
    <cellStyle name="_x0013__Rebuttal Power Costs" xfId="743"/>
    <cellStyle name="_x0013__Rebuttal Power Costs_Adj Bench DR 3 for Initial Briefs (Electric)" xfId="744"/>
    <cellStyle name="_x0013__Rebuttal Power Costs_Electric Rev Req Model (2009 GRC) Rebuttal" xfId="745"/>
    <cellStyle name="_x0013__Rebuttal Power Costs_Electric Rev Req Model (2009 GRC) Rebuttal REmoval of New  WH Solar AdjustMI" xfId="746"/>
    <cellStyle name="_x0013__Rebuttal Power Costs_Electric Rev Req Model (2009 GRC) Revised 01-18-2010" xfId="747"/>
    <cellStyle name="_x0013__Rebuttal Power Costs_Final Order Electric EXHIBIT A-1" xfId="748"/>
    <cellStyle name="_Recon to Darrin's 5.11.05 proforma" xfId="749"/>
    <cellStyle name="_Recon to Darrin's 5.11.05 proforma 2" xfId="750"/>
    <cellStyle name="_Recon to Darrin's 5.11.05 proforma_(C) WHE Proforma with ITC cash grant 10 Yr Amort_for deferral_102809" xfId="751"/>
    <cellStyle name="_Recon to Darrin's 5.11.05 proforma_(C) WHE Proforma with ITC cash grant 10 Yr Amort_for deferral_102809_16.07E Wild Horse Wind Expansionwrkingfile" xfId="752"/>
    <cellStyle name="_Recon to Darrin's 5.11.05 proforma_(C) WHE Proforma with ITC cash grant 10 Yr Amort_for deferral_102809_16.07E Wild Horse Wind Expansionwrkingfile SF" xfId="753"/>
    <cellStyle name="_Recon to Darrin's 5.11.05 proforma_(C) WHE Proforma with ITC cash grant 10 Yr Amort_for deferral_102809_16.37E Wild Horse Expansion DeferralRevwrkingfile SF" xfId="754"/>
    <cellStyle name="_Recon to Darrin's 5.11.05 proforma_(C) WHE Proforma with ITC cash grant 10 Yr Amort_for rebuttal_120709" xfId="755"/>
    <cellStyle name="_Recon to Darrin's 5.11.05 proforma_04.07E Wild Horse Wind Expansion" xfId="756"/>
    <cellStyle name="_Recon to Darrin's 5.11.05 proforma_04.07E Wild Horse Wind Expansion_16.07E Wild Horse Wind Expansionwrkingfile" xfId="757"/>
    <cellStyle name="_Recon to Darrin's 5.11.05 proforma_04.07E Wild Horse Wind Expansion_16.07E Wild Horse Wind Expansionwrkingfile SF" xfId="758"/>
    <cellStyle name="_Recon to Darrin's 5.11.05 proforma_04.07E Wild Horse Wind Expansion_16.37E Wild Horse Expansion DeferralRevwrkingfile SF" xfId="759"/>
    <cellStyle name="_Recon to Darrin's 5.11.05 proforma_16.07E Wild Horse Wind Expansionwrkingfile" xfId="760"/>
    <cellStyle name="_Recon to Darrin's 5.11.05 proforma_16.07E Wild Horse Wind Expansionwrkingfile SF" xfId="761"/>
    <cellStyle name="_Recon to Darrin's 5.11.05 proforma_16.37E Wild Horse Expansion DeferralRevwrkingfile SF" xfId="762"/>
    <cellStyle name="_Recon to Darrin's 5.11.05 proforma_4 31 Regulatory Assets and Liabilities  7 06- Exhibit D" xfId="763"/>
    <cellStyle name="_Recon to Darrin's 5.11.05 proforma_4 32 Regulatory Assets and Liabilities  7 06- Exhibit D" xfId="764"/>
    <cellStyle name="_Recon to Darrin's 5.11.05 proforma_Book2" xfId="765"/>
    <cellStyle name="_Recon to Darrin's 5.11.05 proforma_Book2_Adj Bench DR 3 for Initial Briefs (Electric)" xfId="766"/>
    <cellStyle name="_Recon to Darrin's 5.11.05 proforma_Book2_Electric Rev Req Model (2009 GRC) Rebuttal" xfId="767"/>
    <cellStyle name="_Recon to Darrin's 5.11.05 proforma_Book2_Electric Rev Req Model (2009 GRC) Rebuttal REmoval of New  WH Solar AdjustMI" xfId="768"/>
    <cellStyle name="_Recon to Darrin's 5.11.05 proforma_Book2_Electric Rev Req Model (2009 GRC) Revised 01-18-2010" xfId="769"/>
    <cellStyle name="_Recon to Darrin's 5.11.05 proforma_Book2_Final Order Electric EXHIBIT A-1" xfId="770"/>
    <cellStyle name="_Recon to Darrin's 5.11.05 proforma_Book4" xfId="771"/>
    <cellStyle name="_Recon to Darrin's 5.11.05 proforma_Book9" xfId="772"/>
    <cellStyle name="_Recon to Darrin's 5.11.05 proforma_Power Costs - Comparison bx Rbtl-Staff-Jt-PC" xfId="773"/>
    <cellStyle name="_Recon to Darrin's 5.11.05 proforma_Power Costs - Comparison bx Rbtl-Staff-Jt-PC_Adj Bench DR 3 for Initial Briefs (Electric)" xfId="774"/>
    <cellStyle name="_Recon to Darrin's 5.11.05 proforma_Power Costs - Comparison bx Rbtl-Staff-Jt-PC_Electric Rev Req Model (2009 GRC) Rebuttal" xfId="775"/>
    <cellStyle name="_Recon to Darrin's 5.11.05 proforma_Power Costs - Comparison bx Rbtl-Staff-Jt-PC_Electric Rev Req Model (2009 GRC) Rebuttal REmoval of New  WH Solar AdjustMI" xfId="776"/>
    <cellStyle name="_Recon to Darrin's 5.11.05 proforma_Power Costs - Comparison bx Rbtl-Staff-Jt-PC_Electric Rev Req Model (2009 GRC) Revised 01-18-2010" xfId="777"/>
    <cellStyle name="_Recon to Darrin's 5.11.05 proforma_Power Costs - Comparison bx Rbtl-Staff-Jt-PC_Final Order Electric EXHIBIT A-1" xfId="778"/>
    <cellStyle name="_Recon to Darrin's 5.11.05 proforma_Rebuttal Power Costs" xfId="779"/>
    <cellStyle name="_Recon to Darrin's 5.11.05 proforma_Rebuttal Power Costs_Adj Bench DR 3 for Initial Briefs (Electric)" xfId="780"/>
    <cellStyle name="_Recon to Darrin's 5.11.05 proforma_Rebuttal Power Costs_Electric Rev Req Model (2009 GRC) Rebuttal" xfId="781"/>
    <cellStyle name="_Recon to Darrin's 5.11.05 proforma_Rebuttal Power Costs_Electric Rev Req Model (2009 GRC) Rebuttal REmoval of New  WH Solar AdjustMI" xfId="782"/>
    <cellStyle name="_Recon to Darrin's 5.11.05 proforma_Rebuttal Power Costs_Electric Rev Req Model (2009 GRC) Revised 01-18-2010" xfId="783"/>
    <cellStyle name="_Recon to Darrin's 5.11.05 proforma_Rebuttal Power Costs_Final Order Electric EXHIBIT A-1" xfId="784"/>
    <cellStyle name="_Sumas Proforma - 11-09-07" xfId="785"/>
    <cellStyle name="_Sumas Property Taxes v1" xfId="786"/>
    <cellStyle name="_Tenaska Comparison" xfId="787"/>
    <cellStyle name="_Tenaska Comparison 2" xfId="788"/>
    <cellStyle name="_Tenaska Comparison_(C) WHE Proforma with ITC cash grant 10 Yr Amort_for deferral_102809" xfId="789"/>
    <cellStyle name="_Tenaska Comparison_(C) WHE Proforma with ITC cash grant 10 Yr Amort_for deferral_102809_16.07E Wild Horse Wind Expansionwrkingfile" xfId="790"/>
    <cellStyle name="_Tenaska Comparison_(C) WHE Proforma with ITC cash grant 10 Yr Amort_for deferral_102809_16.07E Wild Horse Wind Expansionwrkingfile SF" xfId="791"/>
    <cellStyle name="_Tenaska Comparison_(C) WHE Proforma with ITC cash grant 10 Yr Amort_for deferral_102809_16.37E Wild Horse Expansion DeferralRevwrkingfile SF" xfId="792"/>
    <cellStyle name="_Tenaska Comparison_(C) WHE Proforma with ITC cash grant 10 Yr Amort_for rebuttal_120709" xfId="793"/>
    <cellStyle name="_Tenaska Comparison_04.07E Wild Horse Wind Expansion" xfId="794"/>
    <cellStyle name="_Tenaska Comparison_04.07E Wild Horse Wind Expansion_16.07E Wild Horse Wind Expansionwrkingfile" xfId="795"/>
    <cellStyle name="_Tenaska Comparison_04.07E Wild Horse Wind Expansion_16.07E Wild Horse Wind Expansionwrkingfile SF" xfId="796"/>
    <cellStyle name="_Tenaska Comparison_04.07E Wild Horse Wind Expansion_16.37E Wild Horse Expansion DeferralRevwrkingfile SF" xfId="797"/>
    <cellStyle name="_Tenaska Comparison_16.07E Wild Horse Wind Expansionwrkingfile" xfId="798"/>
    <cellStyle name="_Tenaska Comparison_16.07E Wild Horse Wind Expansionwrkingfile SF" xfId="799"/>
    <cellStyle name="_Tenaska Comparison_16.37E Wild Horse Expansion DeferralRevwrkingfile SF" xfId="800"/>
    <cellStyle name="_Tenaska Comparison_2009 GRC Compl Filing - Exhibit D" xfId="801"/>
    <cellStyle name="_Tenaska Comparison_4 31 Regulatory Assets and Liabilities  7 06- Exhibit D" xfId="802"/>
    <cellStyle name="_Tenaska Comparison_4 32 Regulatory Assets and Liabilities  7 06- Exhibit D" xfId="803"/>
    <cellStyle name="_Tenaska Comparison_Book2" xfId="804"/>
    <cellStyle name="_Tenaska Comparison_Book2_Adj Bench DR 3 for Initial Briefs (Electric)" xfId="805"/>
    <cellStyle name="_Tenaska Comparison_Book2_Electric Rev Req Model (2009 GRC) Rebuttal" xfId="806"/>
    <cellStyle name="_Tenaska Comparison_Book2_Electric Rev Req Model (2009 GRC) Rebuttal REmoval of New  WH Solar AdjustMI" xfId="807"/>
    <cellStyle name="_Tenaska Comparison_Book2_Electric Rev Req Model (2009 GRC) Revised 01-18-2010" xfId="808"/>
    <cellStyle name="_Tenaska Comparison_Book2_Final Order Electric EXHIBIT A-1" xfId="809"/>
    <cellStyle name="_Tenaska Comparison_Book4" xfId="810"/>
    <cellStyle name="_Tenaska Comparison_Book9" xfId="811"/>
    <cellStyle name="_Tenaska Comparison_Power Costs - Comparison bx Rbtl-Staff-Jt-PC" xfId="812"/>
    <cellStyle name="_Tenaska Comparison_Power Costs - Comparison bx Rbtl-Staff-Jt-PC_Adj Bench DR 3 for Initial Briefs (Electric)" xfId="813"/>
    <cellStyle name="_Tenaska Comparison_Power Costs - Comparison bx Rbtl-Staff-Jt-PC_Electric Rev Req Model (2009 GRC) Rebuttal" xfId="814"/>
    <cellStyle name="_Tenaska Comparison_Power Costs - Comparison bx Rbtl-Staff-Jt-PC_Electric Rev Req Model (2009 GRC) Rebuttal REmoval of New  WH Solar AdjustMI" xfId="815"/>
    <cellStyle name="_Tenaska Comparison_Power Costs - Comparison bx Rbtl-Staff-Jt-PC_Electric Rev Req Model (2009 GRC) Revised 01-18-2010" xfId="816"/>
    <cellStyle name="_Tenaska Comparison_Power Costs - Comparison bx Rbtl-Staff-Jt-PC_Final Order Electric EXHIBIT A-1" xfId="817"/>
    <cellStyle name="_Tenaska Comparison_Rebuttal Power Costs" xfId="818"/>
    <cellStyle name="_Tenaska Comparison_Rebuttal Power Costs_Adj Bench DR 3 for Initial Briefs (Electric)" xfId="819"/>
    <cellStyle name="_Tenaska Comparison_Rebuttal Power Costs_Electric Rev Req Model (2009 GRC) Rebuttal" xfId="820"/>
    <cellStyle name="_Tenaska Comparison_Rebuttal Power Costs_Electric Rev Req Model (2009 GRC) Rebuttal REmoval of New  WH Solar AdjustMI" xfId="821"/>
    <cellStyle name="_Tenaska Comparison_Rebuttal Power Costs_Electric Rev Req Model (2009 GRC) Revised 01-18-2010" xfId="822"/>
    <cellStyle name="_Tenaska Comparison_Rebuttal Power Costs_Final Order Electric EXHIBIT A-1" xfId="823"/>
    <cellStyle name="_x0013__TENASKA REGULATORY ASSET" xfId="824"/>
    <cellStyle name="_Value Copy 11 30 05 gas 12 09 05 AURORA at 12 14 05" xfId="825"/>
    <cellStyle name="_Value Copy 11 30 05 gas 12 09 05 AURORA at 12 14 05 2" xfId="826"/>
    <cellStyle name="_Value Copy 11 30 05 gas 12 09 05 AURORA at 12 14 05_04 07E Wild Horse Wind Expansion (C) (2)" xfId="827"/>
    <cellStyle name="_Value Copy 11 30 05 gas 12 09 05 AURORA at 12 14 05_04 07E Wild Horse Wind Expansion (C) (2)_Adj Bench DR 3 for Initial Briefs (Electric)" xfId="828"/>
    <cellStyle name="_Value Copy 11 30 05 gas 12 09 05 AURORA at 12 14 05_04 07E Wild Horse Wind Expansion (C) (2)_Electric Rev Req Model (2009 GRC) " xfId="829"/>
    <cellStyle name="_Value Copy 11 30 05 gas 12 09 05 AURORA at 12 14 05_04 07E Wild Horse Wind Expansion (C) (2)_Electric Rev Req Model (2009 GRC) Rebuttal" xfId="830"/>
    <cellStyle name="_Value Copy 11 30 05 gas 12 09 05 AURORA at 12 14 05_04 07E Wild Horse Wind Expansion (C) (2)_Electric Rev Req Model (2009 GRC) Rebuttal REmoval of New  WH Solar AdjustMI" xfId="831"/>
    <cellStyle name="_Value Copy 11 30 05 gas 12 09 05 AURORA at 12 14 05_04 07E Wild Horse Wind Expansion (C) (2)_Electric Rev Req Model (2009 GRC) Revised 01-18-2010" xfId="832"/>
    <cellStyle name="_Value Copy 11 30 05 gas 12 09 05 AURORA at 12 14 05_04 07E Wild Horse Wind Expansion (C) (2)_Final Order Electric EXHIBIT A-1" xfId="833"/>
    <cellStyle name="_Value Copy 11 30 05 gas 12 09 05 AURORA at 12 14 05_04 07E Wild Horse Wind Expansion (C) (2)_TENASKA REGULATORY ASSET" xfId="834"/>
    <cellStyle name="_Value Copy 11 30 05 gas 12 09 05 AURORA at 12 14 05_16.37E Wild Horse Expansion DeferralRevwrkingfile SF" xfId="835"/>
    <cellStyle name="_Value Copy 11 30 05 gas 12 09 05 AURORA at 12 14 05_4 31 Regulatory Assets and Liabilities  7 06- Exhibit D" xfId="836"/>
    <cellStyle name="_Value Copy 11 30 05 gas 12 09 05 AURORA at 12 14 05_4 32 Regulatory Assets and Liabilities  7 06- Exhibit D" xfId="837"/>
    <cellStyle name="_Value Copy 11 30 05 gas 12 09 05 AURORA at 12 14 05_Book2" xfId="838"/>
    <cellStyle name="_Value Copy 11 30 05 gas 12 09 05 AURORA at 12 14 05_Book2_Adj Bench DR 3 for Initial Briefs (Electric)" xfId="839"/>
    <cellStyle name="_Value Copy 11 30 05 gas 12 09 05 AURORA at 12 14 05_Book2_Electric Rev Req Model (2009 GRC) Rebuttal" xfId="840"/>
    <cellStyle name="_Value Copy 11 30 05 gas 12 09 05 AURORA at 12 14 05_Book2_Electric Rev Req Model (2009 GRC) Rebuttal REmoval of New  WH Solar AdjustMI" xfId="841"/>
    <cellStyle name="_Value Copy 11 30 05 gas 12 09 05 AURORA at 12 14 05_Book2_Electric Rev Req Model (2009 GRC) Revised 01-18-2010" xfId="842"/>
    <cellStyle name="_Value Copy 11 30 05 gas 12 09 05 AURORA at 12 14 05_Book2_Final Order Electric EXHIBIT A-1" xfId="843"/>
    <cellStyle name="_Value Copy 11 30 05 gas 12 09 05 AURORA at 12 14 05_Book4" xfId="844"/>
    <cellStyle name="_Value Copy 11 30 05 gas 12 09 05 AURORA at 12 14 05_Book9" xfId="845"/>
    <cellStyle name="_Value Copy 11 30 05 gas 12 09 05 AURORA at 12 14 05_Power Costs - Comparison bx Rbtl-Staff-Jt-PC" xfId="846"/>
    <cellStyle name="_Value Copy 11 30 05 gas 12 09 05 AURORA at 12 14 05_Power Costs - Comparison bx Rbtl-Staff-Jt-PC_Adj Bench DR 3 for Initial Briefs (Electric)" xfId="847"/>
    <cellStyle name="_Value Copy 11 30 05 gas 12 09 05 AURORA at 12 14 05_Power Costs - Comparison bx Rbtl-Staff-Jt-PC_Electric Rev Req Model (2009 GRC) Rebuttal" xfId="848"/>
    <cellStyle name="_Value Copy 11 30 05 gas 12 09 05 AURORA at 12 14 05_Power Costs - Comparison bx Rbtl-Staff-Jt-PC_Electric Rev Req Model (2009 GRC) Rebuttal REmoval of New  WH Solar AdjustMI" xfId="849"/>
    <cellStyle name="_Value Copy 11 30 05 gas 12 09 05 AURORA at 12 14 05_Power Costs - Comparison bx Rbtl-Staff-Jt-PC_Electric Rev Req Model (2009 GRC) Revised 01-18-2010" xfId="850"/>
    <cellStyle name="_Value Copy 11 30 05 gas 12 09 05 AURORA at 12 14 05_Power Costs - Comparison bx Rbtl-Staff-Jt-PC_Final Order Electric EXHIBIT A-1" xfId="851"/>
    <cellStyle name="_Value Copy 11 30 05 gas 12 09 05 AURORA at 12 14 05_Rebuttal Power Costs" xfId="852"/>
    <cellStyle name="_Value Copy 11 30 05 gas 12 09 05 AURORA at 12 14 05_Rebuttal Power Costs_Adj Bench DR 3 for Initial Briefs (Electric)" xfId="853"/>
    <cellStyle name="_Value Copy 11 30 05 gas 12 09 05 AURORA at 12 14 05_Rebuttal Power Costs_Electric Rev Req Model (2009 GRC) Rebuttal" xfId="854"/>
    <cellStyle name="_Value Copy 11 30 05 gas 12 09 05 AURORA at 12 14 05_Rebuttal Power Costs_Electric Rev Req Model (2009 GRC) Rebuttal REmoval of New  WH Solar AdjustMI" xfId="855"/>
    <cellStyle name="_Value Copy 11 30 05 gas 12 09 05 AURORA at 12 14 05_Rebuttal Power Costs_Electric Rev Req Model (2009 GRC) Revised 01-18-2010" xfId="856"/>
    <cellStyle name="_Value Copy 11 30 05 gas 12 09 05 AURORA at 12 14 05_Rebuttal Power Costs_Final Order Electric EXHIBIT A-1" xfId="857"/>
    <cellStyle name="_VC 6.15.06 update on 06GRC power costs.xls Chart 1" xfId="858"/>
    <cellStyle name="_VC 6.15.06 update on 06GRC power costs.xls Chart 1 2" xfId="859"/>
    <cellStyle name="_VC 6.15.06 update on 06GRC power costs.xls Chart 1_04 07E Wild Horse Wind Expansion (C) (2)" xfId="860"/>
    <cellStyle name="_VC 6.15.06 update on 06GRC power costs.xls Chart 1_04 07E Wild Horse Wind Expansion (C) (2)_Adj Bench DR 3 for Initial Briefs (Electric)" xfId="861"/>
    <cellStyle name="_VC 6.15.06 update on 06GRC power costs.xls Chart 1_04 07E Wild Horse Wind Expansion (C) (2)_Electric Rev Req Model (2009 GRC) " xfId="862"/>
    <cellStyle name="_VC 6.15.06 update on 06GRC power costs.xls Chart 1_04 07E Wild Horse Wind Expansion (C) (2)_Electric Rev Req Model (2009 GRC) Rebuttal" xfId="863"/>
    <cellStyle name="_VC 6.15.06 update on 06GRC power costs.xls Chart 1_04 07E Wild Horse Wind Expansion (C) (2)_Electric Rev Req Model (2009 GRC) Rebuttal REmoval of New  WH Solar AdjustMI" xfId="864"/>
    <cellStyle name="_VC 6.15.06 update on 06GRC power costs.xls Chart 1_04 07E Wild Horse Wind Expansion (C) (2)_Electric Rev Req Model (2009 GRC) Revised 01-18-2010" xfId="865"/>
    <cellStyle name="_VC 6.15.06 update on 06GRC power costs.xls Chart 1_04 07E Wild Horse Wind Expansion (C) (2)_Final Order Electric EXHIBIT A-1" xfId="866"/>
    <cellStyle name="_VC 6.15.06 update on 06GRC power costs.xls Chart 1_04 07E Wild Horse Wind Expansion (C) (2)_TENASKA REGULATORY ASSET" xfId="867"/>
    <cellStyle name="_VC 6.15.06 update on 06GRC power costs.xls Chart 1_16.37E Wild Horse Expansion DeferralRevwrkingfile SF" xfId="868"/>
    <cellStyle name="_VC 6.15.06 update on 06GRC power costs.xls Chart 1_2009 GRC Compl Filing - Exhibit D" xfId="869"/>
    <cellStyle name="_VC 6.15.06 update on 06GRC power costs.xls Chart 1_4 31 Regulatory Assets and Liabilities  7 06- Exhibit D" xfId="870"/>
    <cellStyle name="_VC 6.15.06 update on 06GRC power costs.xls Chart 1_4 32 Regulatory Assets and Liabilities  7 06- Exhibit D" xfId="871"/>
    <cellStyle name="_VC 6.15.06 update on 06GRC power costs.xls Chart 1_Book2" xfId="872"/>
    <cellStyle name="_VC 6.15.06 update on 06GRC power costs.xls Chart 1_Book2_Adj Bench DR 3 for Initial Briefs (Electric)" xfId="873"/>
    <cellStyle name="_VC 6.15.06 update on 06GRC power costs.xls Chart 1_Book2_Electric Rev Req Model (2009 GRC) Rebuttal" xfId="874"/>
    <cellStyle name="_VC 6.15.06 update on 06GRC power costs.xls Chart 1_Book2_Electric Rev Req Model (2009 GRC) Rebuttal REmoval of New  WH Solar AdjustMI" xfId="875"/>
    <cellStyle name="_VC 6.15.06 update on 06GRC power costs.xls Chart 1_Book2_Electric Rev Req Model (2009 GRC) Revised 01-18-2010" xfId="876"/>
    <cellStyle name="_VC 6.15.06 update on 06GRC power costs.xls Chart 1_Book2_Final Order Electric EXHIBIT A-1" xfId="877"/>
    <cellStyle name="_VC 6.15.06 update on 06GRC power costs.xls Chart 1_Book4" xfId="878"/>
    <cellStyle name="_VC 6.15.06 update on 06GRC power costs.xls Chart 1_Book9" xfId="879"/>
    <cellStyle name="_VC 6.15.06 update on 06GRC power costs.xls Chart 1_Power Costs - Comparison bx Rbtl-Staff-Jt-PC" xfId="880"/>
    <cellStyle name="_VC 6.15.06 update on 06GRC power costs.xls Chart 1_Power Costs - Comparison bx Rbtl-Staff-Jt-PC_Adj Bench DR 3 for Initial Briefs (Electric)" xfId="881"/>
    <cellStyle name="_VC 6.15.06 update on 06GRC power costs.xls Chart 1_Power Costs - Comparison bx Rbtl-Staff-Jt-PC_Electric Rev Req Model (2009 GRC) Rebuttal" xfId="882"/>
    <cellStyle name="_VC 6.15.06 update on 06GRC power costs.xls Chart 1_Power Costs - Comparison bx Rbtl-Staff-Jt-PC_Electric Rev Req Model (2009 GRC) Rebuttal REmoval of New  WH Solar AdjustMI" xfId="883"/>
    <cellStyle name="_VC 6.15.06 update on 06GRC power costs.xls Chart 1_Power Costs - Comparison bx Rbtl-Staff-Jt-PC_Electric Rev Req Model (2009 GRC) Revised 01-18-2010" xfId="884"/>
    <cellStyle name="_VC 6.15.06 update on 06GRC power costs.xls Chart 1_Power Costs - Comparison bx Rbtl-Staff-Jt-PC_Final Order Electric EXHIBIT A-1" xfId="885"/>
    <cellStyle name="_VC 6.15.06 update on 06GRC power costs.xls Chart 1_Rebuttal Power Costs" xfId="886"/>
    <cellStyle name="_VC 6.15.06 update on 06GRC power costs.xls Chart 1_Rebuttal Power Costs_Adj Bench DR 3 for Initial Briefs (Electric)" xfId="887"/>
    <cellStyle name="_VC 6.15.06 update on 06GRC power costs.xls Chart 1_Rebuttal Power Costs_Electric Rev Req Model (2009 GRC) Rebuttal" xfId="888"/>
    <cellStyle name="_VC 6.15.06 update on 06GRC power costs.xls Chart 1_Rebuttal Power Costs_Electric Rev Req Model (2009 GRC) Rebuttal REmoval of New  WH Solar AdjustMI" xfId="889"/>
    <cellStyle name="_VC 6.15.06 update on 06GRC power costs.xls Chart 1_Rebuttal Power Costs_Electric Rev Req Model (2009 GRC) Revised 01-18-2010" xfId="890"/>
    <cellStyle name="_VC 6.15.06 update on 06GRC power costs.xls Chart 1_Rebuttal Power Costs_Final Order Electric EXHIBIT A-1" xfId="891"/>
    <cellStyle name="_VC 6.15.06 update on 06GRC power costs.xls Chart 2" xfId="892"/>
    <cellStyle name="_VC 6.15.06 update on 06GRC power costs.xls Chart 2 2" xfId="893"/>
    <cellStyle name="_VC 6.15.06 update on 06GRC power costs.xls Chart 2_04 07E Wild Horse Wind Expansion (C) (2)" xfId="894"/>
    <cellStyle name="_VC 6.15.06 update on 06GRC power costs.xls Chart 2_04 07E Wild Horse Wind Expansion (C) (2)_Adj Bench DR 3 for Initial Briefs (Electric)" xfId="895"/>
    <cellStyle name="_VC 6.15.06 update on 06GRC power costs.xls Chart 2_04 07E Wild Horse Wind Expansion (C) (2)_Electric Rev Req Model (2009 GRC) " xfId="896"/>
    <cellStyle name="_VC 6.15.06 update on 06GRC power costs.xls Chart 2_04 07E Wild Horse Wind Expansion (C) (2)_Electric Rev Req Model (2009 GRC) Rebuttal" xfId="897"/>
    <cellStyle name="_VC 6.15.06 update on 06GRC power costs.xls Chart 2_04 07E Wild Horse Wind Expansion (C) (2)_Electric Rev Req Model (2009 GRC) Rebuttal REmoval of New  WH Solar AdjustMI" xfId="898"/>
    <cellStyle name="_VC 6.15.06 update on 06GRC power costs.xls Chart 2_04 07E Wild Horse Wind Expansion (C) (2)_Electric Rev Req Model (2009 GRC) Revised 01-18-2010" xfId="899"/>
    <cellStyle name="_VC 6.15.06 update on 06GRC power costs.xls Chart 2_04 07E Wild Horse Wind Expansion (C) (2)_Final Order Electric EXHIBIT A-1" xfId="900"/>
    <cellStyle name="_VC 6.15.06 update on 06GRC power costs.xls Chart 2_04 07E Wild Horse Wind Expansion (C) (2)_TENASKA REGULATORY ASSET" xfId="901"/>
    <cellStyle name="_VC 6.15.06 update on 06GRC power costs.xls Chart 2_16.37E Wild Horse Expansion DeferralRevwrkingfile SF" xfId="902"/>
    <cellStyle name="_VC 6.15.06 update on 06GRC power costs.xls Chart 2_2009 GRC Compl Filing - Exhibit D" xfId="903"/>
    <cellStyle name="_VC 6.15.06 update on 06GRC power costs.xls Chart 2_4 31 Regulatory Assets and Liabilities  7 06- Exhibit D" xfId="904"/>
    <cellStyle name="_VC 6.15.06 update on 06GRC power costs.xls Chart 2_4 32 Regulatory Assets and Liabilities  7 06- Exhibit D" xfId="905"/>
    <cellStyle name="_VC 6.15.06 update on 06GRC power costs.xls Chart 2_Book2" xfId="906"/>
    <cellStyle name="_VC 6.15.06 update on 06GRC power costs.xls Chart 2_Book2_Adj Bench DR 3 for Initial Briefs (Electric)" xfId="907"/>
    <cellStyle name="_VC 6.15.06 update on 06GRC power costs.xls Chart 2_Book2_Electric Rev Req Model (2009 GRC) Rebuttal" xfId="908"/>
    <cellStyle name="_VC 6.15.06 update on 06GRC power costs.xls Chart 2_Book2_Electric Rev Req Model (2009 GRC) Rebuttal REmoval of New  WH Solar AdjustMI" xfId="909"/>
    <cellStyle name="_VC 6.15.06 update on 06GRC power costs.xls Chart 2_Book2_Electric Rev Req Model (2009 GRC) Revised 01-18-2010" xfId="910"/>
    <cellStyle name="_VC 6.15.06 update on 06GRC power costs.xls Chart 2_Book2_Final Order Electric EXHIBIT A-1" xfId="911"/>
    <cellStyle name="_VC 6.15.06 update on 06GRC power costs.xls Chart 2_Book4" xfId="912"/>
    <cellStyle name="_VC 6.15.06 update on 06GRC power costs.xls Chart 2_Book9" xfId="913"/>
    <cellStyle name="_VC 6.15.06 update on 06GRC power costs.xls Chart 2_Power Costs - Comparison bx Rbtl-Staff-Jt-PC" xfId="914"/>
    <cellStyle name="_VC 6.15.06 update on 06GRC power costs.xls Chart 2_Power Costs - Comparison bx Rbtl-Staff-Jt-PC_Adj Bench DR 3 for Initial Briefs (Electric)" xfId="915"/>
    <cellStyle name="_VC 6.15.06 update on 06GRC power costs.xls Chart 2_Power Costs - Comparison bx Rbtl-Staff-Jt-PC_Electric Rev Req Model (2009 GRC) Rebuttal" xfId="916"/>
    <cellStyle name="_VC 6.15.06 update on 06GRC power costs.xls Chart 2_Power Costs - Comparison bx Rbtl-Staff-Jt-PC_Electric Rev Req Model (2009 GRC) Rebuttal REmoval of New  WH Solar AdjustMI" xfId="917"/>
    <cellStyle name="_VC 6.15.06 update on 06GRC power costs.xls Chart 2_Power Costs - Comparison bx Rbtl-Staff-Jt-PC_Electric Rev Req Model (2009 GRC) Revised 01-18-2010" xfId="918"/>
    <cellStyle name="_VC 6.15.06 update on 06GRC power costs.xls Chart 2_Power Costs - Comparison bx Rbtl-Staff-Jt-PC_Final Order Electric EXHIBIT A-1" xfId="919"/>
    <cellStyle name="_VC 6.15.06 update on 06GRC power costs.xls Chart 2_Rebuttal Power Costs" xfId="920"/>
    <cellStyle name="_VC 6.15.06 update on 06GRC power costs.xls Chart 2_Rebuttal Power Costs_Adj Bench DR 3 for Initial Briefs (Electric)" xfId="921"/>
    <cellStyle name="_VC 6.15.06 update on 06GRC power costs.xls Chart 2_Rebuttal Power Costs_Electric Rev Req Model (2009 GRC) Rebuttal" xfId="922"/>
    <cellStyle name="_VC 6.15.06 update on 06GRC power costs.xls Chart 2_Rebuttal Power Costs_Electric Rev Req Model (2009 GRC) Rebuttal REmoval of New  WH Solar AdjustMI" xfId="923"/>
    <cellStyle name="_VC 6.15.06 update on 06GRC power costs.xls Chart 2_Rebuttal Power Costs_Electric Rev Req Model (2009 GRC) Revised 01-18-2010" xfId="924"/>
    <cellStyle name="_VC 6.15.06 update on 06GRC power costs.xls Chart 2_Rebuttal Power Costs_Final Order Electric EXHIBIT A-1" xfId="925"/>
    <cellStyle name="_VC 6.15.06 update on 06GRC power costs.xls Chart 3" xfId="926"/>
    <cellStyle name="_VC 6.15.06 update on 06GRC power costs.xls Chart 3 2" xfId="927"/>
    <cellStyle name="_VC 6.15.06 update on 06GRC power costs.xls Chart 3_04 07E Wild Horse Wind Expansion (C) (2)" xfId="928"/>
    <cellStyle name="_VC 6.15.06 update on 06GRC power costs.xls Chart 3_04 07E Wild Horse Wind Expansion (C) (2)_Adj Bench DR 3 for Initial Briefs (Electric)" xfId="929"/>
    <cellStyle name="_VC 6.15.06 update on 06GRC power costs.xls Chart 3_04 07E Wild Horse Wind Expansion (C) (2)_Electric Rev Req Model (2009 GRC) " xfId="930"/>
    <cellStyle name="_VC 6.15.06 update on 06GRC power costs.xls Chart 3_04 07E Wild Horse Wind Expansion (C) (2)_Electric Rev Req Model (2009 GRC) Rebuttal" xfId="931"/>
    <cellStyle name="_VC 6.15.06 update on 06GRC power costs.xls Chart 3_04 07E Wild Horse Wind Expansion (C) (2)_Electric Rev Req Model (2009 GRC) Rebuttal REmoval of New  WH Solar AdjustMI" xfId="932"/>
    <cellStyle name="_VC 6.15.06 update on 06GRC power costs.xls Chart 3_04 07E Wild Horse Wind Expansion (C) (2)_Electric Rev Req Model (2009 GRC) Revised 01-18-2010" xfId="933"/>
    <cellStyle name="_VC 6.15.06 update on 06GRC power costs.xls Chart 3_04 07E Wild Horse Wind Expansion (C) (2)_Final Order Electric EXHIBIT A-1" xfId="934"/>
    <cellStyle name="_VC 6.15.06 update on 06GRC power costs.xls Chart 3_04 07E Wild Horse Wind Expansion (C) (2)_TENASKA REGULATORY ASSET" xfId="935"/>
    <cellStyle name="_VC 6.15.06 update on 06GRC power costs.xls Chart 3_16.37E Wild Horse Expansion DeferralRevwrkingfile SF" xfId="936"/>
    <cellStyle name="_VC 6.15.06 update on 06GRC power costs.xls Chart 3_2009 GRC Compl Filing - Exhibit D" xfId="937"/>
    <cellStyle name="_VC 6.15.06 update on 06GRC power costs.xls Chart 3_4 31 Regulatory Assets and Liabilities  7 06- Exhibit D" xfId="938"/>
    <cellStyle name="_VC 6.15.06 update on 06GRC power costs.xls Chart 3_4 32 Regulatory Assets and Liabilities  7 06- Exhibit D" xfId="939"/>
    <cellStyle name="_VC 6.15.06 update on 06GRC power costs.xls Chart 3_Book2" xfId="940"/>
    <cellStyle name="_VC 6.15.06 update on 06GRC power costs.xls Chart 3_Book2_Adj Bench DR 3 for Initial Briefs (Electric)" xfId="941"/>
    <cellStyle name="_VC 6.15.06 update on 06GRC power costs.xls Chart 3_Book2_Electric Rev Req Model (2009 GRC) Rebuttal" xfId="942"/>
    <cellStyle name="_VC 6.15.06 update on 06GRC power costs.xls Chart 3_Book2_Electric Rev Req Model (2009 GRC) Rebuttal REmoval of New  WH Solar AdjustMI" xfId="943"/>
    <cellStyle name="_VC 6.15.06 update on 06GRC power costs.xls Chart 3_Book2_Electric Rev Req Model (2009 GRC) Revised 01-18-2010" xfId="944"/>
    <cellStyle name="_VC 6.15.06 update on 06GRC power costs.xls Chart 3_Book2_Final Order Electric EXHIBIT A-1" xfId="945"/>
    <cellStyle name="_VC 6.15.06 update on 06GRC power costs.xls Chart 3_Book4" xfId="946"/>
    <cellStyle name="_VC 6.15.06 update on 06GRC power costs.xls Chart 3_Book9" xfId="947"/>
    <cellStyle name="_VC 6.15.06 update on 06GRC power costs.xls Chart 3_Power Costs - Comparison bx Rbtl-Staff-Jt-PC" xfId="948"/>
    <cellStyle name="_VC 6.15.06 update on 06GRC power costs.xls Chart 3_Power Costs - Comparison bx Rbtl-Staff-Jt-PC_Adj Bench DR 3 for Initial Briefs (Electric)" xfId="949"/>
    <cellStyle name="_VC 6.15.06 update on 06GRC power costs.xls Chart 3_Power Costs - Comparison bx Rbtl-Staff-Jt-PC_Electric Rev Req Model (2009 GRC) Rebuttal" xfId="950"/>
    <cellStyle name="_VC 6.15.06 update on 06GRC power costs.xls Chart 3_Power Costs - Comparison bx Rbtl-Staff-Jt-PC_Electric Rev Req Model (2009 GRC) Rebuttal REmoval of New  WH Solar AdjustMI" xfId="951"/>
    <cellStyle name="_VC 6.15.06 update on 06GRC power costs.xls Chart 3_Power Costs - Comparison bx Rbtl-Staff-Jt-PC_Electric Rev Req Model (2009 GRC) Revised 01-18-2010" xfId="952"/>
    <cellStyle name="_VC 6.15.06 update on 06GRC power costs.xls Chart 3_Power Costs - Comparison bx Rbtl-Staff-Jt-PC_Final Order Electric EXHIBIT A-1" xfId="953"/>
    <cellStyle name="_VC 6.15.06 update on 06GRC power costs.xls Chart 3_Rebuttal Power Costs" xfId="954"/>
    <cellStyle name="_VC 6.15.06 update on 06GRC power costs.xls Chart 3_Rebuttal Power Costs_Adj Bench DR 3 for Initial Briefs (Electric)" xfId="955"/>
    <cellStyle name="_VC 6.15.06 update on 06GRC power costs.xls Chart 3_Rebuttal Power Costs_Electric Rev Req Model (2009 GRC) Rebuttal" xfId="956"/>
    <cellStyle name="_VC 6.15.06 update on 06GRC power costs.xls Chart 3_Rebuttal Power Costs_Electric Rev Req Model (2009 GRC) Rebuttal REmoval of New  WH Solar AdjustMI" xfId="957"/>
    <cellStyle name="_VC 6.15.06 update on 06GRC power costs.xls Chart 3_Rebuttal Power Costs_Electric Rev Req Model (2009 GRC) Revised 01-18-2010" xfId="958"/>
    <cellStyle name="_VC 6.15.06 update on 06GRC power costs.xls Chart 3_Rebuttal Power Costs_Final Order Electric EXHIBIT A-1" xfId="959"/>
    <cellStyle name="0,0&#13;&#10;NA&#13;&#10;" xfId="960"/>
    <cellStyle name="20% - Accent1" xfId="961"/>
    <cellStyle name="20% - Accent1 2" xfId="962"/>
    <cellStyle name="20% - Accent1 2 2" xfId="963"/>
    <cellStyle name="20% - Accent1 2_2009 GRC Compl Filing - Exhibit D" xfId="964"/>
    <cellStyle name="20% - Accent1 3" xfId="965"/>
    <cellStyle name="20% - Accent2" xfId="966"/>
    <cellStyle name="20% - Accent2 2" xfId="967"/>
    <cellStyle name="20% - Accent2 2 2" xfId="968"/>
    <cellStyle name="20% - Accent2 2_2009 GRC Compl Filing - Exhibit D" xfId="969"/>
    <cellStyle name="20% - Accent2 3" xfId="970"/>
    <cellStyle name="20% - Accent3" xfId="971"/>
    <cellStyle name="20% - Accent3 2" xfId="972"/>
    <cellStyle name="20% - Accent3 2 2" xfId="973"/>
    <cellStyle name="20% - Accent3 2_2009 GRC Compl Filing - Exhibit D" xfId="974"/>
    <cellStyle name="20% - Accent3 3" xfId="975"/>
    <cellStyle name="20% - Accent4" xfId="976"/>
    <cellStyle name="20% - Accent4 2" xfId="977"/>
    <cellStyle name="20% - Accent4 2 2" xfId="978"/>
    <cellStyle name="20% - Accent4 2_2009 GRC Compl Filing - Exhibit D" xfId="979"/>
    <cellStyle name="20% - Accent4 3" xfId="980"/>
    <cellStyle name="20% - Accent5" xfId="981"/>
    <cellStyle name="20% - Accent5 2" xfId="982"/>
    <cellStyle name="20% - Accent5 2 2" xfId="983"/>
    <cellStyle name="20% - Accent5 2_2009 GRC Compl Filing - Exhibit D" xfId="984"/>
    <cellStyle name="20% - Accent5 3" xfId="985"/>
    <cellStyle name="20% - Accent6" xfId="986"/>
    <cellStyle name="20% - Accent6 2" xfId="987"/>
    <cellStyle name="20% - Accent6 2 2" xfId="988"/>
    <cellStyle name="20% - Accent6 2_2009 GRC Compl Filing - Exhibit D" xfId="989"/>
    <cellStyle name="20% - Accent6 3" xfId="990"/>
    <cellStyle name="40% - Accent1" xfId="991"/>
    <cellStyle name="40% - Accent1 2" xfId="992"/>
    <cellStyle name="40% - Accent1 2 2" xfId="993"/>
    <cellStyle name="40% - Accent1 2_2009 GRC Compl Filing - Exhibit D" xfId="994"/>
    <cellStyle name="40% - Accent1 3" xfId="995"/>
    <cellStyle name="40% - Accent2" xfId="996"/>
    <cellStyle name="40% - Accent2 2" xfId="997"/>
    <cellStyle name="40% - Accent2 2 2" xfId="998"/>
    <cellStyle name="40% - Accent2 2_2009 GRC Compl Filing - Exhibit D" xfId="999"/>
    <cellStyle name="40% - Accent2 3" xfId="1000"/>
    <cellStyle name="40% - Accent3" xfId="1001"/>
    <cellStyle name="40% - Accent3 2" xfId="1002"/>
    <cellStyle name="40% - Accent3 2 2" xfId="1003"/>
    <cellStyle name="40% - Accent3 2_2009 GRC Compl Filing - Exhibit D" xfId="1004"/>
    <cellStyle name="40% - Accent3 3" xfId="1005"/>
    <cellStyle name="40% - Accent4" xfId="1006"/>
    <cellStyle name="40% - Accent4 2" xfId="1007"/>
    <cellStyle name="40% - Accent4 2 2" xfId="1008"/>
    <cellStyle name="40% - Accent4 2_2009 GRC Compl Filing - Exhibit D" xfId="1009"/>
    <cellStyle name="40% - Accent4 3" xfId="1010"/>
    <cellStyle name="40% - Accent5" xfId="1011"/>
    <cellStyle name="40% - Accent5 2" xfId="1012"/>
    <cellStyle name="40% - Accent5 2 2" xfId="1013"/>
    <cellStyle name="40% - Accent5 2_2009 GRC Compl Filing - Exhibit D" xfId="1014"/>
    <cellStyle name="40% - Accent5 3" xfId="1015"/>
    <cellStyle name="40% - Accent6" xfId="1016"/>
    <cellStyle name="40% - Accent6 2" xfId="1017"/>
    <cellStyle name="40% - Accent6 2 2" xfId="1018"/>
    <cellStyle name="40% - Accent6 2_2009 GRC Compl Filing - Exhibit D" xfId="1019"/>
    <cellStyle name="40% - Accent6 3" xfId="1020"/>
    <cellStyle name="60% - Accent1" xfId="1021"/>
    <cellStyle name="60% - Accent1 2 2" xfId="1022"/>
    <cellStyle name="60% - Accent2" xfId="1023"/>
    <cellStyle name="60% - Accent2 2 2" xfId="1024"/>
    <cellStyle name="60% - Accent3" xfId="1025"/>
    <cellStyle name="60% - Accent3 2 2" xfId="1026"/>
    <cellStyle name="60% - Accent4" xfId="1027"/>
    <cellStyle name="60% - Accent4 2 2" xfId="1028"/>
    <cellStyle name="60% - Accent5" xfId="1029"/>
    <cellStyle name="60% - Accent5 2 2" xfId="1030"/>
    <cellStyle name="60% - Accent6" xfId="1031"/>
    <cellStyle name="60% - Accent6 2 2" xfId="1032"/>
    <cellStyle name="Accent1" xfId="1033"/>
    <cellStyle name="Accent1 - 20%" xfId="1034"/>
    <cellStyle name="Accent1 - 40%" xfId="1035"/>
    <cellStyle name="Accent1 - 60%" xfId="1036"/>
    <cellStyle name="Accent1 2 2" xfId="1037"/>
    <cellStyle name="Accent2" xfId="1038"/>
    <cellStyle name="Accent2 - 20%" xfId="1039"/>
    <cellStyle name="Accent2 - 40%" xfId="1040"/>
    <cellStyle name="Accent2 - 60%" xfId="1041"/>
    <cellStyle name="Accent2 2 2" xfId="1042"/>
    <cellStyle name="Accent3" xfId="1043"/>
    <cellStyle name="Accent3 - 20%" xfId="1044"/>
    <cellStyle name="Accent3 - 40%" xfId="1045"/>
    <cellStyle name="Accent3 - 60%" xfId="1046"/>
    <cellStyle name="Accent3 2 2" xfId="1047"/>
    <cellStyle name="Accent4" xfId="1048"/>
    <cellStyle name="Accent4 - 20%" xfId="1049"/>
    <cellStyle name="Accent4 - 40%" xfId="1050"/>
    <cellStyle name="Accent4 - 60%" xfId="1051"/>
    <cellStyle name="Accent4 2 2" xfId="1052"/>
    <cellStyle name="Accent5" xfId="1053"/>
    <cellStyle name="Accent5 - 20%" xfId="1054"/>
    <cellStyle name="Accent5 - 40%" xfId="1055"/>
    <cellStyle name="Accent5 - 60%" xfId="1056"/>
    <cellStyle name="Accent5 2 2" xfId="1057"/>
    <cellStyle name="Accent6" xfId="1058"/>
    <cellStyle name="Accent6 - 20%" xfId="1059"/>
    <cellStyle name="Accent6 - 40%" xfId="1060"/>
    <cellStyle name="Accent6 - 60%" xfId="1061"/>
    <cellStyle name="Accent6 2 2" xfId="1062"/>
    <cellStyle name="Bad" xfId="1063"/>
    <cellStyle name="Bad 2 2" xfId="1064"/>
    <cellStyle name="Calc Currency (0)" xfId="1065"/>
    <cellStyle name="Calculation" xfId="1066"/>
    <cellStyle name="Calculation 2" xfId="1067"/>
    <cellStyle name="Calculation 2 2" xfId="1068"/>
    <cellStyle name="Calculation 3" xfId="1069"/>
    <cellStyle name="Check Cell" xfId="1070"/>
    <cellStyle name="Check Cell 2 2" xfId="1071"/>
    <cellStyle name="CheckCell" xfId="1072"/>
    <cellStyle name="Comma" xfId="1073"/>
    <cellStyle name="Comma [0]" xfId="1074"/>
    <cellStyle name="Comma 10" xfId="1075"/>
    <cellStyle name="Comma 10 2" xfId="1076"/>
    <cellStyle name="Comma 11" xfId="1077"/>
    <cellStyle name="Comma 12" xfId="1078"/>
    <cellStyle name="Comma 13" xfId="1079"/>
    <cellStyle name="Comma 14" xfId="1080"/>
    <cellStyle name="Comma 15" xfId="1081"/>
    <cellStyle name="Comma 16" xfId="1082"/>
    <cellStyle name="Comma 17" xfId="1083"/>
    <cellStyle name="Comma 18" xfId="1084"/>
    <cellStyle name="Comma 18 2" xfId="1085"/>
    <cellStyle name="Comma 19" xfId="1086"/>
    <cellStyle name="Comma 2" xfId="1087"/>
    <cellStyle name="Comma 2 2" xfId="1088"/>
    <cellStyle name="Comma 2 2 2" xfId="1089"/>
    <cellStyle name="Comma 2 3" xfId="1090"/>
    <cellStyle name="Comma 2 4" xfId="1091"/>
    <cellStyle name="Comma 2 5" xfId="1092"/>
    <cellStyle name="Comma 2 6" xfId="1093"/>
    <cellStyle name="Comma 2 7" xfId="1094"/>
    <cellStyle name="Comma 2 8" xfId="1095"/>
    <cellStyle name="Comma 26" xfId="1096"/>
    <cellStyle name="Comma 27" xfId="1097"/>
    <cellStyle name="Comma 28" xfId="1098"/>
    <cellStyle name="Comma 3" xfId="1099"/>
    <cellStyle name="Comma 3 2" xfId="1100"/>
    <cellStyle name="Comma 4" xfId="1101"/>
    <cellStyle name="Comma 4 2" xfId="1102"/>
    <cellStyle name="Comma 5" xfId="1103"/>
    <cellStyle name="Comma 6" xfId="1104"/>
    <cellStyle name="Comma 6 2" xfId="1105"/>
    <cellStyle name="Comma 7" xfId="1106"/>
    <cellStyle name="Comma 8" xfId="1107"/>
    <cellStyle name="Comma 9" xfId="1108"/>
    <cellStyle name="Comma_4.05 Exhibit A-2 " xfId="1109"/>
    <cellStyle name="Comma_Book2" xfId="1110"/>
    <cellStyle name="Comma_JHS Rebuttal Exhs 11-14 internal" xfId="1111"/>
    <cellStyle name="Comma_PCA Adj Agrmt Exhibit A3" xfId="1112"/>
    <cellStyle name="Comma0" xfId="1113"/>
    <cellStyle name="Comma0 - Style2" xfId="1114"/>
    <cellStyle name="Comma0 - Style4" xfId="1115"/>
    <cellStyle name="Comma0 - Style5" xfId="1116"/>
    <cellStyle name="Comma0 2" xfId="1117"/>
    <cellStyle name="Comma0 3" xfId="1118"/>
    <cellStyle name="Comma0 4" xfId="1119"/>
    <cellStyle name="Comma0_00COS Ind Allocators" xfId="1120"/>
    <cellStyle name="Comma1 - Style1" xfId="1121"/>
    <cellStyle name="Copied" xfId="1122"/>
    <cellStyle name="COST1" xfId="1123"/>
    <cellStyle name="Curren - Style1" xfId="1124"/>
    <cellStyle name="Curren - Style2" xfId="1125"/>
    <cellStyle name="Curren - Style5" xfId="1126"/>
    <cellStyle name="Curren - Style6" xfId="1127"/>
    <cellStyle name="Currency" xfId="1128"/>
    <cellStyle name="Currency [0]" xfId="1129"/>
    <cellStyle name="Currency 10" xfId="1130"/>
    <cellStyle name="Currency 11" xfId="1131"/>
    <cellStyle name="Currency 12" xfId="1132"/>
    <cellStyle name="Currency 12 2" xfId="1133"/>
    <cellStyle name="Currency 12 3" xfId="1134"/>
    <cellStyle name="Currency 12 4" xfId="1135"/>
    <cellStyle name="Currency 13" xfId="1136"/>
    <cellStyle name="Currency 13 2" xfId="1137"/>
    <cellStyle name="Currency 2" xfId="1138"/>
    <cellStyle name="Currency 2 2" xfId="1139"/>
    <cellStyle name="Currency 2 3" xfId="1140"/>
    <cellStyle name="Currency 2 4" xfId="1141"/>
    <cellStyle name="Currency 2 5" xfId="1142"/>
    <cellStyle name="Currency 2 6" xfId="1143"/>
    <cellStyle name="Currency 2 7" xfId="1144"/>
    <cellStyle name="Currency 2 8" xfId="1145"/>
    <cellStyle name="Currency 3" xfId="1146"/>
    <cellStyle name="Currency 4" xfId="1147"/>
    <cellStyle name="Currency 4 2" xfId="1148"/>
    <cellStyle name="Currency 4_5.10 Reg Assets &amp; Liab and  9.06 Exhibit D" xfId="1149"/>
    <cellStyle name="Currency 5" xfId="1150"/>
    <cellStyle name="Currency 6" xfId="1151"/>
    <cellStyle name="Currency 7" xfId="1152"/>
    <cellStyle name="Currency 8" xfId="1153"/>
    <cellStyle name="Currency 9" xfId="1154"/>
    <cellStyle name="Currency_4.05 Exhibit A-2 " xfId="1155"/>
    <cellStyle name="Currency_Book2" xfId="1156"/>
    <cellStyle name="Currency_JHS Rebuttal Exhs 11-14 internal" xfId="1157"/>
    <cellStyle name="Currency_PCA Adj Agrmt Exhibit A3" xfId="1158"/>
    <cellStyle name="Currency0" xfId="1159"/>
    <cellStyle name="Currency0 2" xfId="1160"/>
    <cellStyle name="Date" xfId="1161"/>
    <cellStyle name="Date 2" xfId="1162"/>
    <cellStyle name="Date 3" xfId="1163"/>
    <cellStyle name="Date 4" xfId="1164"/>
    <cellStyle name="Emphasis 1" xfId="1165"/>
    <cellStyle name="Emphasis 2" xfId="1166"/>
    <cellStyle name="Emphasis 3" xfId="1167"/>
    <cellStyle name="Entered" xfId="1168"/>
    <cellStyle name="Entered 2" xfId="1169"/>
    <cellStyle name="Entered_JHS-4" xfId="1170"/>
    <cellStyle name="Euro" xfId="1171"/>
    <cellStyle name="Euro 2" xfId="1172"/>
    <cellStyle name="Explanatory Text" xfId="1173"/>
    <cellStyle name="Explanatory Text 2 2" xfId="1174"/>
    <cellStyle name="Fixed" xfId="1175"/>
    <cellStyle name="Fixed3 - Style3" xfId="1176"/>
    <cellStyle name="Followed Hyperlink" xfId="1177"/>
    <cellStyle name="Good" xfId="1178"/>
    <cellStyle name="Good 2 2" xfId="1179"/>
    <cellStyle name="Grey" xfId="1180"/>
    <cellStyle name="Grey 2" xfId="1181"/>
    <cellStyle name="Grey 3" xfId="1182"/>
    <cellStyle name="Grey 4" xfId="1183"/>
    <cellStyle name="Grey_(C) WHE Proforma with ITC cash grant 10 Yr Amort_for deferral_102809" xfId="1184"/>
    <cellStyle name="Header1" xfId="1185"/>
    <cellStyle name="Header2" xfId="1186"/>
    <cellStyle name="Heading 1" xfId="1187"/>
    <cellStyle name="Heading 1 2" xfId="1188"/>
    <cellStyle name="Heading 1 2 2" xfId="1189"/>
    <cellStyle name="Heading 1 3" xfId="1190"/>
    <cellStyle name="Heading 2" xfId="1191"/>
    <cellStyle name="Heading 2 2" xfId="1192"/>
    <cellStyle name="Heading 2 2 2" xfId="1193"/>
    <cellStyle name="Heading 2 3" xfId="1194"/>
    <cellStyle name="Heading 3" xfId="1195"/>
    <cellStyle name="Heading 3 2 2" xfId="1196"/>
    <cellStyle name="Heading 4" xfId="1197"/>
    <cellStyle name="Heading 4 2 2" xfId="1198"/>
    <cellStyle name="Heading1" xfId="1199"/>
    <cellStyle name="Heading2" xfId="1200"/>
    <cellStyle name="Hyperlink" xfId="1201"/>
    <cellStyle name="Input" xfId="1202"/>
    <cellStyle name="Input [yellow]" xfId="1203"/>
    <cellStyle name="Input [yellow] 2" xfId="1204"/>
    <cellStyle name="Input [yellow] 3" xfId="1205"/>
    <cellStyle name="Input [yellow] 4" xfId="1206"/>
    <cellStyle name="Input [yellow]_(C) WHE Proforma with ITC cash grant 10 Yr Amort_for deferral_102809" xfId="1207"/>
    <cellStyle name="Input 2 2" xfId="1208"/>
    <cellStyle name="Input Cells" xfId="1209"/>
    <cellStyle name="Input Cells Percent" xfId="1210"/>
    <cellStyle name="Input Cells_4.34E Mint Farm Deferral" xfId="1211"/>
    <cellStyle name="Lines" xfId="1212"/>
    <cellStyle name="Lines 2" xfId="1213"/>
    <cellStyle name="LINKED" xfId="1214"/>
    <cellStyle name="Linked Cell" xfId="1215"/>
    <cellStyle name="Linked Cell 2 2" xfId="1216"/>
    <cellStyle name="modified border" xfId="1217"/>
    <cellStyle name="modified border 2" xfId="1218"/>
    <cellStyle name="modified border 3" xfId="1219"/>
    <cellStyle name="modified border 4" xfId="1220"/>
    <cellStyle name="modified border_4.34E Mint Farm Deferral" xfId="1221"/>
    <cellStyle name="modified border1" xfId="1222"/>
    <cellStyle name="modified border1 2" xfId="1223"/>
    <cellStyle name="modified border1 3" xfId="1224"/>
    <cellStyle name="modified border1 4" xfId="1225"/>
    <cellStyle name="modified border1_4.34E Mint Farm Deferral" xfId="1226"/>
    <cellStyle name="Neutral" xfId="1227"/>
    <cellStyle name="Neutral 2 2" xfId="1228"/>
    <cellStyle name="no dec" xfId="1229"/>
    <cellStyle name="Normal - Style1" xfId="1230"/>
    <cellStyle name="Normal - Style1 2" xfId="1231"/>
    <cellStyle name="Normal - Style1 3" xfId="1232"/>
    <cellStyle name="Normal - Style1 4" xfId="1233"/>
    <cellStyle name="Normal - Style1 5" xfId="1234"/>
    <cellStyle name="Normal - Style1_(C) WHE Proforma with ITC cash grant 10 Yr Amort_for deferral_102809" xfId="1235"/>
    <cellStyle name="Normal 10" xfId="1236"/>
    <cellStyle name="Normal 10 2" xfId="1237"/>
    <cellStyle name="Normal 10 2 2" xfId="1238"/>
    <cellStyle name="Normal 10 3" xfId="1239"/>
    <cellStyle name="Normal 10_04.07E Wild Horse Wind Expansion" xfId="1240"/>
    <cellStyle name="Normal 11" xfId="1241"/>
    <cellStyle name="Normal 11 2" xfId="1242"/>
    <cellStyle name="Normal 11_16.37E Wild Horse Expansion DeferralRevwrkingfile SF" xfId="1243"/>
    <cellStyle name="Normal 12" xfId="1244"/>
    <cellStyle name="Normal 13" xfId="1245"/>
    <cellStyle name="Normal 14" xfId="1246"/>
    <cellStyle name="Normal 15" xfId="1247"/>
    <cellStyle name="Normal 16" xfId="1248"/>
    <cellStyle name="Normal 17" xfId="1249"/>
    <cellStyle name="Normal 18" xfId="1250"/>
    <cellStyle name="Normal 19" xfId="1251"/>
    <cellStyle name="Normal 2" xfId="1252"/>
    <cellStyle name="Normal 2 10" xfId="1253"/>
    <cellStyle name="Normal 2 11" xfId="1254"/>
    <cellStyle name="Normal 2 2" xfId="1255"/>
    <cellStyle name="Normal 2 2 2" xfId="1256"/>
    <cellStyle name="Normal 2 2 3" xfId="1257"/>
    <cellStyle name="Normal 2 3" xfId="1258"/>
    <cellStyle name="Normal 2 4" xfId="1259"/>
    <cellStyle name="Normal 2 5" xfId="1260"/>
    <cellStyle name="Normal 2 6" xfId="1261"/>
    <cellStyle name="Normal 2 7" xfId="1262"/>
    <cellStyle name="Normal 2 8" xfId="1263"/>
    <cellStyle name="Normal 2 9" xfId="1264"/>
    <cellStyle name="Normal 2_16.37E Wild Horse Expansion DeferralRevwrkingfile SF" xfId="1265"/>
    <cellStyle name="Normal 20" xfId="1266"/>
    <cellStyle name="Normal 21" xfId="1267"/>
    <cellStyle name="Normal 22" xfId="1268"/>
    <cellStyle name="Normal 23" xfId="1269"/>
    <cellStyle name="Normal 24" xfId="1270"/>
    <cellStyle name="Normal 24 2" xfId="1271"/>
    <cellStyle name="Normal 24_5.10 Reg Assets &amp; Liab and  9.06 Exhibit D" xfId="1272"/>
    <cellStyle name="Normal 25" xfId="1273"/>
    <cellStyle name="Normal 26" xfId="1274"/>
    <cellStyle name="Normal 27" xfId="1275"/>
    <cellStyle name="Normal 28" xfId="1276"/>
    <cellStyle name="Normal 29" xfId="1277"/>
    <cellStyle name="Normal 3" xfId="1278"/>
    <cellStyle name="Normal 3 2" xfId="1279"/>
    <cellStyle name="Normal 3 3" xfId="1280"/>
    <cellStyle name="Normal 3 4" xfId="1281"/>
    <cellStyle name="Normal 3_2009 GRC Compl Filing - Exhibit D" xfId="1282"/>
    <cellStyle name="Normal 30" xfId="1283"/>
    <cellStyle name="Normal 31" xfId="1284"/>
    <cellStyle name="Normal 32" xfId="1285"/>
    <cellStyle name="Normal 33" xfId="1286"/>
    <cellStyle name="Normal 34" xfId="1287"/>
    <cellStyle name="Normal 35" xfId="1288"/>
    <cellStyle name="Normal 36" xfId="1289"/>
    <cellStyle name="Normal 37" xfId="1290"/>
    <cellStyle name="Normal 38" xfId="1291"/>
    <cellStyle name="Normal 39" xfId="1292"/>
    <cellStyle name="Normal 4" xfId="1293"/>
    <cellStyle name="Normal 4 2" xfId="1294"/>
    <cellStyle name="Normal 5" xfId="1295"/>
    <cellStyle name="Normal 6" xfId="1296"/>
    <cellStyle name="Normal 7" xfId="1297"/>
    <cellStyle name="Normal 8" xfId="1298"/>
    <cellStyle name="Normal 9" xfId="1299"/>
    <cellStyle name="Normal_4.05 Exhibit A-2 " xfId="1300"/>
    <cellStyle name="Normal_CopyOfBook1_1" xfId="1301"/>
    <cellStyle name="Normal_JHS Rebuttal Exhs 11-14 internal" xfId="1302"/>
    <cellStyle name="Normal_PCA Adj Agrmt Exhibit A3" xfId="1303"/>
    <cellStyle name="Normal_Reg Asset Amortization PCORC TY 0603 RY 0305 2" xfId="1304"/>
    <cellStyle name="Note" xfId="1305"/>
    <cellStyle name="Note 10" xfId="1306"/>
    <cellStyle name="Note 11" xfId="1307"/>
    <cellStyle name="Note 12" xfId="1308"/>
    <cellStyle name="Note 2" xfId="1309"/>
    <cellStyle name="Note 2 2" xfId="1310"/>
    <cellStyle name="Note 3" xfId="1311"/>
    <cellStyle name="Note 4" xfId="1312"/>
    <cellStyle name="Note 5" xfId="1313"/>
    <cellStyle name="Note 6" xfId="1314"/>
    <cellStyle name="Note 7" xfId="1315"/>
    <cellStyle name="Note 8" xfId="1316"/>
    <cellStyle name="Note 9" xfId="1317"/>
    <cellStyle name="Output" xfId="1318"/>
    <cellStyle name="Output 2 2" xfId="1319"/>
    <cellStyle name="Percen - Style1" xfId="1320"/>
    <cellStyle name="Percen - Style2" xfId="1321"/>
    <cellStyle name="Percen - Style3" xfId="1322"/>
    <cellStyle name="Percent" xfId="1323"/>
    <cellStyle name="Percent [2]" xfId="1324"/>
    <cellStyle name="Percent [2] 2" xfId="1325"/>
    <cellStyle name="Percent 2" xfId="1326"/>
    <cellStyle name="Percent 2 2" xfId="1327"/>
    <cellStyle name="Percent 2 3" xfId="1328"/>
    <cellStyle name="Percent 3" xfId="1329"/>
    <cellStyle name="Percent 3 2" xfId="1330"/>
    <cellStyle name="Percent 4" xfId="1331"/>
    <cellStyle name="Percent 4 2" xfId="1332"/>
    <cellStyle name="Percent 5" xfId="1333"/>
    <cellStyle name="Percent 6" xfId="1334"/>
    <cellStyle name="Percent 6 2" xfId="1335"/>
    <cellStyle name="Percent 7" xfId="1336"/>
    <cellStyle name="Percent 8" xfId="1337"/>
    <cellStyle name="Percent 8 2" xfId="1338"/>
    <cellStyle name="Percent 9" xfId="1339"/>
    <cellStyle name="Processing" xfId="1340"/>
    <cellStyle name="PSChar" xfId="1341"/>
    <cellStyle name="PSDate" xfId="1342"/>
    <cellStyle name="PSDec" xfId="1343"/>
    <cellStyle name="PSHeading" xfId="1344"/>
    <cellStyle name="PSInt" xfId="1345"/>
    <cellStyle name="PSSpacer" xfId="1346"/>
    <cellStyle name="purple - Style8" xfId="1347"/>
    <cellStyle name="RED" xfId="1348"/>
    <cellStyle name="Red - Style7" xfId="1349"/>
    <cellStyle name="RED_04 07E Wild Horse Wind Expansion (C) (2)" xfId="1350"/>
    <cellStyle name="Report" xfId="1351"/>
    <cellStyle name="Report Bar" xfId="1352"/>
    <cellStyle name="Report Heading" xfId="1353"/>
    <cellStyle name="Report Heading 2" xfId="1354"/>
    <cellStyle name="Report Percent" xfId="1355"/>
    <cellStyle name="Report Percent 2" xfId="1356"/>
    <cellStyle name="Report Unit Cost" xfId="1357"/>
    <cellStyle name="Report Unit Cost 2" xfId="1358"/>
    <cellStyle name="Report_Adj Bench DR 3 for Initial Briefs (Electric)" xfId="1359"/>
    <cellStyle name="Reports" xfId="1360"/>
    <cellStyle name="Reports Total" xfId="1361"/>
    <cellStyle name="Reports Unit Cost Total" xfId="1362"/>
    <cellStyle name="Reports_16.37E Wild Horse Expansion DeferralRevwrkingfile SF" xfId="1363"/>
    <cellStyle name="RevList" xfId="1364"/>
    <cellStyle name="round100" xfId="1365"/>
    <cellStyle name="round100 2" xfId="1366"/>
    <cellStyle name="SAPBEXaggData" xfId="1367"/>
    <cellStyle name="SAPBEXaggDataEmph" xfId="1368"/>
    <cellStyle name="SAPBEXaggItem" xfId="1369"/>
    <cellStyle name="SAPBEXaggItemX" xfId="1370"/>
    <cellStyle name="SAPBEXchaText" xfId="1371"/>
    <cellStyle name="SAPBEXexcBad7" xfId="1372"/>
    <cellStyle name="SAPBEXexcBad8" xfId="1373"/>
    <cellStyle name="SAPBEXexcBad9" xfId="1374"/>
    <cellStyle name="SAPBEXexcCritical4" xfId="1375"/>
    <cellStyle name="SAPBEXexcCritical5" xfId="1376"/>
    <cellStyle name="SAPBEXexcCritical6" xfId="1377"/>
    <cellStyle name="SAPBEXexcGood1" xfId="1378"/>
    <cellStyle name="SAPBEXexcGood2" xfId="1379"/>
    <cellStyle name="SAPBEXexcGood3" xfId="1380"/>
    <cellStyle name="SAPBEXfilterDrill" xfId="1381"/>
    <cellStyle name="SAPBEXfilterItem" xfId="1382"/>
    <cellStyle name="SAPBEXfilterText" xfId="1383"/>
    <cellStyle name="SAPBEXformats" xfId="1384"/>
    <cellStyle name="SAPBEXheaderItem" xfId="1385"/>
    <cellStyle name="SAPBEXheaderText" xfId="1386"/>
    <cellStyle name="SAPBEXHLevel0" xfId="1387"/>
    <cellStyle name="SAPBEXHLevel0X" xfId="1388"/>
    <cellStyle name="SAPBEXHLevel1" xfId="1389"/>
    <cellStyle name="SAPBEXHLevel1X" xfId="1390"/>
    <cellStyle name="SAPBEXHLevel2" xfId="1391"/>
    <cellStyle name="SAPBEXHLevel2X" xfId="1392"/>
    <cellStyle name="SAPBEXHLevel3" xfId="1393"/>
    <cellStyle name="SAPBEXHLevel3X" xfId="1394"/>
    <cellStyle name="SAPBEXinputData" xfId="1395"/>
    <cellStyle name="SAPBEXresData" xfId="1396"/>
    <cellStyle name="SAPBEXresDataEmph" xfId="1397"/>
    <cellStyle name="SAPBEXresItem" xfId="1398"/>
    <cellStyle name="SAPBEXresItemX" xfId="1399"/>
    <cellStyle name="SAPBEXstdData" xfId="1400"/>
    <cellStyle name="SAPBEXstdDataEmph" xfId="1401"/>
    <cellStyle name="SAPBEXstdItem" xfId="1402"/>
    <cellStyle name="SAPBEXstdItemX" xfId="1403"/>
    <cellStyle name="SAPBEXtitle" xfId="1404"/>
    <cellStyle name="SAPBEXundefined" xfId="1405"/>
    <cellStyle name="shade" xfId="1406"/>
    <cellStyle name="shade 2" xfId="1407"/>
    <cellStyle name="Sheet Title" xfId="1408"/>
    <cellStyle name="StmtTtl1" xfId="1409"/>
    <cellStyle name="StmtTtl1 2" xfId="1410"/>
    <cellStyle name="StmtTtl1 3" xfId="1411"/>
    <cellStyle name="StmtTtl1 4" xfId="1412"/>
    <cellStyle name="StmtTtl1_(C) WHE Proforma with ITC cash grant 10 Yr Amort_for deferral_102809" xfId="1413"/>
    <cellStyle name="StmtTtl2" xfId="1414"/>
    <cellStyle name="STYL1 - Style1" xfId="1415"/>
    <cellStyle name="Style 1" xfId="1416"/>
    <cellStyle name="Style 1 2" xfId="1417"/>
    <cellStyle name="Style 1 3" xfId="1418"/>
    <cellStyle name="Style 1 3 2" xfId="1419"/>
    <cellStyle name="Style 1 3 3" xfId="1420"/>
    <cellStyle name="Style 1 4" xfId="1421"/>
    <cellStyle name="Style 1 5" xfId="1422"/>
    <cellStyle name="Style 1 6" xfId="1423"/>
    <cellStyle name="Style 1 6 2" xfId="1424"/>
    <cellStyle name="Style 1 6 3" xfId="1425"/>
    <cellStyle name="Style 1 6 4" xfId="1426"/>
    <cellStyle name="Style 1 6 5" xfId="1427"/>
    <cellStyle name="Style 1_04.07E Wild Horse Wind Expansion" xfId="1428"/>
    <cellStyle name="Subtotal" xfId="1429"/>
    <cellStyle name="Sub-total" xfId="1430"/>
    <cellStyle name="Title" xfId="1431"/>
    <cellStyle name="Title 2 2" xfId="1432"/>
    <cellStyle name="Title: Major" xfId="1433"/>
    <cellStyle name="Title: Minor" xfId="1434"/>
    <cellStyle name="Title: Minor 2" xfId="1435"/>
    <cellStyle name="Title: Worksheet" xfId="1436"/>
    <cellStyle name="Total" xfId="1437"/>
    <cellStyle name="Total 2" xfId="1438"/>
    <cellStyle name="Total 2 2" xfId="1439"/>
    <cellStyle name="Total 3" xfId="1440"/>
    <cellStyle name="Total4 - Style4" xfId="1441"/>
    <cellStyle name="Warning Text" xfId="1442"/>
    <cellStyle name="Warning Text 2 2" xfId="14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2057400</xdr:colOff>
      <xdr:row>81</xdr:row>
      <xdr:rowOff>0</xdr:rowOff>
    </xdr:from>
    <xdr:to>
      <xdr:col>2</xdr:col>
      <xdr:colOff>2057400</xdr:colOff>
      <xdr:row>81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3362325" y="13411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view="pageLayout" zoomScaleNormal="85" workbookViewId="0" topLeftCell="A1">
      <selection activeCell="E21" sqref="E21"/>
    </sheetView>
  </sheetViews>
  <sheetFormatPr defaultColWidth="8.16015625" defaultRowHeight="10.5"/>
  <cols>
    <col min="1" max="1" width="9.33203125" style="5" bestFit="1" customWidth="1"/>
    <col min="2" max="2" width="39.16015625" style="2" customWidth="1"/>
    <col min="3" max="3" width="21.83203125" style="2" customWidth="1"/>
    <col min="4" max="4" width="20" style="2" customWidth="1"/>
    <col min="5" max="5" width="12.83203125" style="2" customWidth="1"/>
    <col min="6" max="7" width="3.66015625" style="2" customWidth="1"/>
    <col min="8" max="8" width="16.16015625" style="8" customWidth="1"/>
    <col min="9" max="9" width="14.83203125" style="8" bestFit="1" customWidth="1"/>
    <col min="10" max="11" width="14.83203125" style="8" customWidth="1"/>
    <col min="12" max="16384" width="8.16015625" style="2" customWidth="1"/>
  </cols>
  <sheetData>
    <row r="1" spans="1:11" ht="12.75">
      <c r="A1" s="1"/>
      <c r="H1" s="3"/>
      <c r="I1" s="3"/>
      <c r="J1" s="3"/>
      <c r="K1" s="3"/>
    </row>
    <row r="2" spans="1:11" ht="12.75">
      <c r="A2" s="1"/>
      <c r="H2" s="3"/>
      <c r="I2" s="3"/>
      <c r="J2" s="3"/>
      <c r="K2" s="3"/>
    </row>
    <row r="3" spans="8:11" ht="12.75">
      <c r="H3" s="2"/>
      <c r="I3" s="2"/>
      <c r="J3" s="3"/>
      <c r="K3" s="2"/>
    </row>
    <row r="4" spans="2:11" ht="18">
      <c r="B4" s="6" t="s">
        <v>0</v>
      </c>
      <c r="C4" s="5"/>
      <c r="D4" s="5" t="s">
        <v>1</v>
      </c>
      <c r="E4" s="7"/>
      <c r="F4" s="7"/>
      <c r="G4" s="7"/>
      <c r="J4" s="3"/>
      <c r="K4" s="9"/>
    </row>
    <row r="5" spans="1:11" ht="12.75">
      <c r="A5" s="5" t="s">
        <v>2</v>
      </c>
      <c r="B5" s="10"/>
      <c r="C5" s="5"/>
      <c r="D5" s="11" t="s">
        <v>3</v>
      </c>
      <c r="E5" s="7"/>
      <c r="F5" s="7"/>
      <c r="G5" s="7"/>
      <c r="H5" s="12"/>
      <c r="I5" s="12"/>
      <c r="J5" s="12"/>
      <c r="K5" s="12"/>
    </row>
    <row r="6" spans="1:11" ht="12.75">
      <c r="A6" s="5">
        <v>3</v>
      </c>
      <c r="B6" s="13" t="s">
        <v>4</v>
      </c>
      <c r="C6" s="14"/>
      <c r="D6" s="15">
        <v>296644329.10288495</v>
      </c>
      <c r="E6" s="16"/>
      <c r="F6" s="16"/>
      <c r="G6" s="16"/>
      <c r="H6" s="17"/>
      <c r="I6" s="17"/>
      <c r="J6" s="17"/>
      <c r="K6" s="17"/>
    </row>
    <row r="7" spans="1:11" ht="12.75">
      <c r="A7" s="5">
        <v>4</v>
      </c>
      <c r="B7" s="13" t="s">
        <v>5</v>
      </c>
      <c r="C7" s="5"/>
      <c r="D7" s="18">
        <v>94699227.83950005</v>
      </c>
      <c r="E7" s="16"/>
      <c r="F7" s="16"/>
      <c r="G7" s="16"/>
      <c r="H7" s="17"/>
      <c r="I7" s="17"/>
      <c r="J7" s="17"/>
      <c r="K7" s="17"/>
    </row>
    <row r="8" spans="1:11" ht="12.75">
      <c r="A8" s="5">
        <v>5</v>
      </c>
      <c r="B8" s="13" t="s">
        <v>6</v>
      </c>
      <c r="C8" s="5"/>
      <c r="D8" s="19">
        <v>2051626750.553491</v>
      </c>
      <c r="E8" s="16"/>
      <c r="F8" s="16"/>
      <c r="G8" s="16"/>
      <c r="H8" s="17"/>
      <c r="I8" s="17"/>
      <c r="J8" s="17"/>
      <c r="K8" s="17"/>
    </row>
    <row r="9" spans="1:11" ht="12.75">
      <c r="A9" s="5">
        <v>6</v>
      </c>
      <c r="D9" s="20">
        <f>SUM(D6:D8)</f>
        <v>2442970307.4958763</v>
      </c>
      <c r="E9" s="16"/>
      <c r="F9" s="16"/>
      <c r="G9" s="16"/>
      <c r="H9" s="21" t="s">
        <v>7</v>
      </c>
      <c r="I9" s="21"/>
      <c r="J9" s="21"/>
      <c r="K9" s="21"/>
    </row>
    <row r="10" spans="1:11" ht="12.75">
      <c r="A10" s="5">
        <v>7</v>
      </c>
      <c r="B10" s="13" t="s">
        <v>8</v>
      </c>
      <c r="C10" s="5"/>
      <c r="D10" s="22">
        <v>0.07289999999999999</v>
      </c>
      <c r="E10" s="23"/>
      <c r="F10" s="16"/>
      <c r="G10" s="16"/>
      <c r="H10" s="21" t="s">
        <v>9</v>
      </c>
      <c r="I10" s="21"/>
      <c r="J10" s="21"/>
      <c r="K10" s="21"/>
    </row>
    <row r="11" spans="1:11" ht="12.75">
      <c r="A11" s="5">
        <v>8</v>
      </c>
      <c r="B11" s="13"/>
      <c r="C11" s="5"/>
      <c r="D11" s="17"/>
      <c r="E11" s="14" t="s">
        <v>10</v>
      </c>
      <c r="F11" s="16"/>
      <c r="G11" s="16"/>
      <c r="H11" s="24">
        <v>0.97901</v>
      </c>
      <c r="I11" s="24"/>
      <c r="J11" s="24"/>
      <c r="K11" s="21"/>
    </row>
    <row r="12" spans="1:11" ht="12.75">
      <c r="A12" s="5">
        <v>9</v>
      </c>
      <c r="D12" s="17"/>
      <c r="E12" s="25" t="s">
        <v>11</v>
      </c>
      <c r="F12" s="26"/>
      <c r="G12" s="26"/>
      <c r="H12" s="27" t="s">
        <v>12</v>
      </c>
      <c r="I12" s="28" t="s">
        <v>13</v>
      </c>
      <c r="J12" s="29"/>
      <c r="K12" s="21"/>
    </row>
    <row r="13" spans="1:11" ht="12.75">
      <c r="A13" s="5">
        <v>10</v>
      </c>
      <c r="B13" s="13" t="s">
        <v>14</v>
      </c>
      <c r="D13" s="15">
        <f>(D6*D10)/0.65</f>
        <v>33269802.44861586</v>
      </c>
      <c r="E13" s="31">
        <f aca="true" t="shared" si="0" ref="E13:E36">ROUND(D13/$D$40,3)</f>
        <v>1.574</v>
      </c>
      <c r="F13" s="26"/>
      <c r="G13" s="26" t="s">
        <v>15</v>
      </c>
      <c r="H13" s="17"/>
      <c r="I13" s="17"/>
      <c r="K13" s="21"/>
    </row>
    <row r="14" spans="1:11" ht="12.75">
      <c r="A14" s="5">
        <v>11</v>
      </c>
      <c r="B14" s="2" t="s">
        <v>16</v>
      </c>
      <c r="D14" s="32">
        <f>D7*D10/0.65</f>
        <v>10620882.629999312</v>
      </c>
      <c r="E14" s="33">
        <f t="shared" si="0"/>
        <v>0.502</v>
      </c>
      <c r="F14" s="26" t="s">
        <v>17</v>
      </c>
      <c r="G14" s="26"/>
      <c r="H14" s="17">
        <f>D14</f>
        <v>10620882.629999312</v>
      </c>
      <c r="I14" s="34">
        <f>H14/12</f>
        <v>885073.5524999426</v>
      </c>
      <c r="J14" s="35"/>
      <c r="K14" s="21"/>
    </row>
    <row r="15" spans="1:11" ht="12.75">
      <c r="A15" s="5">
        <v>12</v>
      </c>
      <c r="B15" s="2" t="s">
        <v>18</v>
      </c>
      <c r="D15" s="32">
        <f>(D8*D10)/0.65</f>
        <v>230097830.94669154</v>
      </c>
      <c r="E15" s="33">
        <f t="shared" si="0"/>
        <v>10.883</v>
      </c>
      <c r="F15" s="26" t="s">
        <v>17</v>
      </c>
      <c r="G15" s="26"/>
      <c r="H15" s="17">
        <f>D15/$H$11</f>
        <v>235031134.45898563</v>
      </c>
      <c r="I15" s="37">
        <f>H15/12</f>
        <v>19585927.871582136</v>
      </c>
      <c r="J15" s="38">
        <f>SUM(I14:I15)</f>
        <v>20471001.424082078</v>
      </c>
      <c r="K15" s="21"/>
    </row>
    <row r="16" spans="1:11" ht="12.75">
      <c r="A16" s="5">
        <v>13</v>
      </c>
      <c r="B16" s="26" t="s">
        <v>19</v>
      </c>
      <c r="D16" s="17">
        <v>88810828.89110516</v>
      </c>
      <c r="E16" s="33">
        <f t="shared" si="0"/>
        <v>4.2</v>
      </c>
      <c r="F16" s="26"/>
      <c r="G16" s="26" t="s">
        <v>15</v>
      </c>
      <c r="H16" s="17"/>
      <c r="K16" s="21"/>
    </row>
    <row r="17" spans="1:11" ht="12.75">
      <c r="A17" s="5">
        <v>14</v>
      </c>
      <c r="B17" s="36" t="s">
        <v>20</v>
      </c>
      <c r="C17" s="30"/>
      <c r="D17" s="39">
        <v>480471949.4023625</v>
      </c>
      <c r="E17" s="33">
        <f t="shared" si="0"/>
        <v>22.725</v>
      </c>
      <c r="F17" s="26"/>
      <c r="G17" s="26" t="s">
        <v>15</v>
      </c>
      <c r="H17" s="17"/>
      <c r="I17" s="32"/>
      <c r="K17" s="21"/>
    </row>
    <row r="18" spans="1:9" ht="12.75">
      <c r="A18" s="5" t="s">
        <v>21</v>
      </c>
      <c r="B18" s="36" t="s">
        <v>22</v>
      </c>
      <c r="C18" s="30"/>
      <c r="D18" s="39">
        <v>0</v>
      </c>
      <c r="E18" s="33">
        <f t="shared" si="0"/>
        <v>0</v>
      </c>
      <c r="F18" s="26"/>
      <c r="G18" s="26" t="s">
        <v>15</v>
      </c>
      <c r="H18" s="17"/>
      <c r="I18" s="17"/>
    </row>
    <row r="19" spans="1:9" ht="12.75">
      <c r="A19" s="5">
        <v>15</v>
      </c>
      <c r="B19" s="36" t="s">
        <v>23</v>
      </c>
      <c r="C19" s="30"/>
      <c r="D19" s="39">
        <v>8032592.341122853</v>
      </c>
      <c r="E19" s="33">
        <f t="shared" si="0"/>
        <v>0.38</v>
      </c>
      <c r="F19" s="26" t="s">
        <v>17</v>
      </c>
      <c r="G19" s="26"/>
      <c r="H19" s="17">
        <f>D19/$H$11</f>
        <v>8204811.330959696</v>
      </c>
      <c r="I19" s="34">
        <f>H19/12</f>
        <v>683734.2775799747</v>
      </c>
    </row>
    <row r="20" spans="1:11" ht="12.75">
      <c r="A20" s="5" t="s">
        <v>24</v>
      </c>
      <c r="B20" s="40" t="s">
        <v>25</v>
      </c>
      <c r="C20" s="30"/>
      <c r="D20" s="32">
        <v>4944715.162587209</v>
      </c>
      <c r="E20" s="33">
        <f t="shared" si="0"/>
        <v>0.234</v>
      </c>
      <c r="F20" s="26" t="s">
        <v>17</v>
      </c>
      <c r="G20" s="26"/>
      <c r="H20" s="17">
        <f>D20/$H$11</f>
        <v>5050729.984971765</v>
      </c>
      <c r="I20" s="41">
        <f>H20/12</f>
        <v>420894.1654143138</v>
      </c>
      <c r="J20" s="35"/>
      <c r="K20" s="35"/>
    </row>
    <row r="21" spans="1:11" ht="12.75">
      <c r="A21" s="5" t="s">
        <v>26</v>
      </c>
      <c r="B21" s="40" t="s">
        <v>27</v>
      </c>
      <c r="C21" s="30"/>
      <c r="D21" s="32">
        <v>3282446.933105558</v>
      </c>
      <c r="E21" s="33">
        <f t="shared" si="0"/>
        <v>0.155</v>
      </c>
      <c r="F21" s="26" t="s">
        <v>17</v>
      </c>
      <c r="G21" s="26"/>
      <c r="H21" s="17">
        <f>D21/$H$11</f>
        <v>3352822.6811836017</v>
      </c>
      <c r="I21" s="41">
        <f>H21/12</f>
        <v>279401.8900986335</v>
      </c>
      <c r="J21" s="35"/>
      <c r="K21" s="35"/>
    </row>
    <row r="22" spans="1:11" ht="12.75">
      <c r="A22" s="5" t="s">
        <v>28</v>
      </c>
      <c r="B22" s="40" t="s">
        <v>29</v>
      </c>
      <c r="C22" s="30"/>
      <c r="D22" s="32">
        <v>1660621.7912717587</v>
      </c>
      <c r="E22" s="33">
        <f t="shared" si="0"/>
        <v>0.079</v>
      </c>
      <c r="F22" s="26" t="s">
        <v>17</v>
      </c>
      <c r="G22" s="26"/>
      <c r="H22" s="17">
        <f>D22/$H$11</f>
        <v>1696225.5658999996</v>
      </c>
      <c r="I22" s="41">
        <f>H22/12</f>
        <v>141352.13049166664</v>
      </c>
      <c r="J22" s="35"/>
      <c r="K22" s="35"/>
    </row>
    <row r="23" spans="1:11" ht="12.75">
      <c r="A23" s="5" t="s">
        <v>30</v>
      </c>
      <c r="B23" s="40" t="s">
        <v>31</v>
      </c>
      <c r="C23" s="30"/>
      <c r="D23" s="32">
        <v>1993633.5869456234</v>
      </c>
      <c r="E23" s="33">
        <f t="shared" si="0"/>
        <v>0.094</v>
      </c>
      <c r="F23" s="26" t="s">
        <v>17</v>
      </c>
      <c r="G23" s="26"/>
      <c r="H23" s="17">
        <f>D23/$H$11</f>
        <v>2036377.1431809922</v>
      </c>
      <c r="I23" s="41">
        <f>H23/12</f>
        <v>169698.0952650827</v>
      </c>
      <c r="J23" s="35"/>
      <c r="K23" s="35"/>
    </row>
    <row r="24" spans="1:11" ht="12.75">
      <c r="A24" s="5">
        <v>16</v>
      </c>
      <c r="B24" s="36" t="s">
        <v>32</v>
      </c>
      <c r="C24" s="30"/>
      <c r="D24" s="39">
        <v>157130509.409597</v>
      </c>
      <c r="E24" s="33">
        <f t="shared" si="0"/>
        <v>7.432</v>
      </c>
      <c r="F24" s="26"/>
      <c r="G24" s="26" t="s">
        <v>15</v>
      </c>
      <c r="H24" s="17"/>
      <c r="I24" s="41"/>
      <c r="J24" s="35"/>
      <c r="K24" s="35"/>
    </row>
    <row r="25" spans="1:11" ht="12.75">
      <c r="A25" s="5">
        <v>17</v>
      </c>
      <c r="B25" s="36" t="s">
        <v>33</v>
      </c>
      <c r="C25" s="30"/>
      <c r="D25" s="32">
        <v>97689359.98940098</v>
      </c>
      <c r="E25" s="33">
        <f t="shared" si="0"/>
        <v>4.62</v>
      </c>
      <c r="F25" s="26"/>
      <c r="G25" s="26" t="s">
        <v>15</v>
      </c>
      <c r="H25" s="17"/>
      <c r="I25" s="41"/>
      <c r="J25" s="35"/>
      <c r="K25" s="35"/>
    </row>
    <row r="26" spans="1:11" ht="12.75">
      <c r="A26" s="5">
        <v>18</v>
      </c>
      <c r="B26" s="30" t="s">
        <v>34</v>
      </c>
      <c r="C26" s="30"/>
      <c r="D26" s="17">
        <v>-5495638.128160868</v>
      </c>
      <c r="E26" s="33">
        <f t="shared" si="0"/>
        <v>-0.26</v>
      </c>
      <c r="F26" s="26"/>
      <c r="G26" s="26" t="s">
        <v>15</v>
      </c>
      <c r="H26" s="17"/>
      <c r="I26" s="41"/>
      <c r="J26" s="35"/>
      <c r="K26" s="35"/>
    </row>
    <row r="27" spans="1:11" ht="12.75">
      <c r="A27" s="5">
        <v>19</v>
      </c>
      <c r="B27" s="36" t="s">
        <v>35</v>
      </c>
      <c r="C27" s="30"/>
      <c r="D27" s="17">
        <v>126203441.903628</v>
      </c>
      <c r="E27" s="33">
        <f t="shared" si="0"/>
        <v>5.969</v>
      </c>
      <c r="F27" s="26" t="s">
        <v>17</v>
      </c>
      <c r="G27" s="26"/>
      <c r="H27" s="17">
        <f>D27/$H$11</f>
        <v>128909246.9981185</v>
      </c>
      <c r="I27" s="42">
        <f>H27/12</f>
        <v>10742437.249843208</v>
      </c>
      <c r="J27" s="38">
        <f>SUM(I19:I35)</f>
        <v>23525945.607920013</v>
      </c>
      <c r="K27" s="43"/>
    </row>
    <row r="28" spans="1:11" ht="12.75">
      <c r="A28" s="5">
        <v>20</v>
      </c>
      <c r="B28" s="36" t="s">
        <v>36</v>
      </c>
      <c r="C28" s="30"/>
      <c r="D28" s="17">
        <v>-7074814.240557224</v>
      </c>
      <c r="E28" s="33">
        <f t="shared" si="0"/>
        <v>-0.335</v>
      </c>
      <c r="F28" s="26"/>
      <c r="G28" s="26" t="s">
        <v>15</v>
      </c>
      <c r="H28" s="17"/>
      <c r="I28" s="41"/>
      <c r="J28" s="35"/>
      <c r="K28" s="35"/>
    </row>
    <row r="29" spans="1:11" s="44" customFormat="1" ht="12.75">
      <c r="A29" s="45">
        <v>21</v>
      </c>
      <c r="B29" s="36" t="s">
        <v>37</v>
      </c>
      <c r="C29" s="46"/>
      <c r="D29" s="47">
        <v>0</v>
      </c>
      <c r="E29" s="33">
        <f t="shared" si="0"/>
        <v>0</v>
      </c>
      <c r="F29" s="48"/>
      <c r="G29" s="48" t="s">
        <v>15</v>
      </c>
      <c r="H29" s="47"/>
      <c r="I29" s="49"/>
      <c r="J29" s="35"/>
      <c r="K29" s="35"/>
    </row>
    <row r="30" spans="1:11" ht="12.75">
      <c r="A30" s="5">
        <v>22</v>
      </c>
      <c r="B30" s="30" t="s">
        <v>38</v>
      </c>
      <c r="C30" s="30"/>
      <c r="D30" s="17">
        <v>1662797.5177394</v>
      </c>
      <c r="E30" s="33">
        <f t="shared" si="0"/>
        <v>0.079</v>
      </c>
      <c r="F30" s="26" t="s">
        <v>17</v>
      </c>
      <c r="G30" s="26"/>
      <c r="H30" s="17">
        <f>D30/$H$11</f>
        <v>1698447.94</v>
      </c>
      <c r="I30" s="41">
        <f>H30/12</f>
        <v>141537.32833333334</v>
      </c>
      <c r="J30" s="35"/>
      <c r="K30" s="35"/>
    </row>
    <row r="31" spans="1:11" ht="12.75">
      <c r="A31" s="5">
        <v>23</v>
      </c>
      <c r="B31" s="50" t="s">
        <v>39</v>
      </c>
      <c r="C31" s="30"/>
      <c r="D31" s="17">
        <v>104863779.1164831</v>
      </c>
      <c r="E31" s="33">
        <f t="shared" si="0"/>
        <v>4.96</v>
      </c>
      <c r="F31" s="26" t="s">
        <v>17</v>
      </c>
      <c r="G31" s="26"/>
      <c r="H31" s="17">
        <f>D31/$H$11</f>
        <v>107112061.28280927</v>
      </c>
      <c r="I31" s="41">
        <f>H31/12</f>
        <v>8926005.106900772</v>
      </c>
      <c r="J31" s="35"/>
      <c r="K31" s="35"/>
    </row>
    <row r="32" spans="1:11" ht="12.75">
      <c r="A32" s="5">
        <v>24</v>
      </c>
      <c r="B32" s="10" t="s">
        <v>40</v>
      </c>
      <c r="C32" s="4"/>
      <c r="D32" s="17">
        <v>4091621.914</v>
      </c>
      <c r="E32" s="33">
        <f t="shared" si="0"/>
        <v>0.194</v>
      </c>
      <c r="F32" s="26" t="s">
        <v>17</v>
      </c>
      <c r="G32" s="26"/>
      <c r="H32" s="17">
        <f>D32/$H$11</f>
        <v>4179346.3948274273</v>
      </c>
      <c r="I32" s="41">
        <f>H32/12</f>
        <v>348278.86623561895</v>
      </c>
      <c r="J32" s="35"/>
      <c r="K32" s="35"/>
    </row>
    <row r="33" spans="1:11" ht="12.75">
      <c r="A33" s="51">
        <v>25</v>
      </c>
      <c r="B33" s="50" t="s">
        <v>41</v>
      </c>
      <c r="C33" s="30"/>
      <c r="D33" s="32">
        <v>16415765.797046432</v>
      </c>
      <c r="E33" s="33">
        <f t="shared" si="0"/>
        <v>0.776</v>
      </c>
      <c r="F33" s="48"/>
      <c r="G33" s="48" t="s">
        <v>15</v>
      </c>
      <c r="H33" s="17"/>
      <c r="I33" s="41"/>
      <c r="J33" s="35"/>
      <c r="K33" s="35"/>
    </row>
    <row r="34" spans="1:11" ht="12.75">
      <c r="A34" s="5">
        <v>26</v>
      </c>
      <c r="B34" s="2" t="s">
        <v>42</v>
      </c>
      <c r="C34" s="4" t="s">
        <v>43</v>
      </c>
      <c r="D34" s="32">
        <v>17955448.61835873</v>
      </c>
      <c r="E34" s="33">
        <f t="shared" si="0"/>
        <v>0.849</v>
      </c>
      <c r="F34" s="36" t="s">
        <v>17</v>
      </c>
      <c r="G34" s="36"/>
      <c r="H34" s="17">
        <f>D34/$H$11</f>
        <v>18340413.90625094</v>
      </c>
      <c r="I34" s="41">
        <f>H34/12</f>
        <v>1528367.8255209115</v>
      </c>
      <c r="J34" s="35"/>
      <c r="K34" s="35"/>
    </row>
    <row r="35" spans="1:11" ht="12.75">
      <c r="A35" s="5">
        <f aca="true" t="shared" si="1" ref="A35:A50">A34+1</f>
        <v>27</v>
      </c>
      <c r="B35" s="2" t="s">
        <v>44</v>
      </c>
      <c r="C35" s="5"/>
      <c r="D35" s="32">
        <v>1694533.2300750378</v>
      </c>
      <c r="E35" s="33">
        <f t="shared" si="0"/>
        <v>0.08</v>
      </c>
      <c r="F35" s="36" t="s">
        <v>17</v>
      </c>
      <c r="G35" s="36"/>
      <c r="H35" s="17">
        <f>D35/$H$11</f>
        <v>1730864.0668379667</v>
      </c>
      <c r="I35" s="52">
        <f>H35/12</f>
        <v>144238.67223649722</v>
      </c>
      <c r="J35" s="35"/>
      <c r="K35" s="35"/>
    </row>
    <row r="36" spans="1:8" ht="13.5" thickBot="1">
      <c r="A36" s="5">
        <f t="shared" si="1"/>
        <v>28</v>
      </c>
      <c r="B36" s="53" t="s">
        <v>45</v>
      </c>
      <c r="C36" s="5"/>
      <c r="D36" s="54">
        <v>1420907.408017</v>
      </c>
      <c r="E36" s="33">
        <f t="shared" si="0"/>
        <v>0.067</v>
      </c>
      <c r="F36" s="55"/>
      <c r="G36" s="48" t="s">
        <v>15</v>
      </c>
      <c r="H36" s="54"/>
    </row>
    <row r="37" spans="1:11" ht="13.5" thickBot="1">
      <c r="A37" s="5">
        <f t="shared" si="1"/>
        <v>29</v>
      </c>
      <c r="B37" s="2" t="s">
        <v>46</v>
      </c>
      <c r="C37" s="57"/>
      <c r="D37" s="15">
        <f>SUM(D13:D36)</f>
        <v>1379743016.669435</v>
      </c>
      <c r="E37" s="58">
        <f>SUM(E13:E36)</f>
        <v>65.257</v>
      </c>
      <c r="F37" s="504" t="s">
        <v>47</v>
      </c>
      <c r="G37" s="504"/>
      <c r="H37" s="17">
        <f>SUM(H13:H36)</f>
        <v>527963364.3840251</v>
      </c>
      <c r="I37" s="59">
        <f>SUM(I14:I36)</f>
        <v>43996947.03200209</v>
      </c>
      <c r="J37" s="59">
        <f>SUM(J15:J36)</f>
        <v>43996947.03200209</v>
      </c>
      <c r="K37" s="32"/>
    </row>
    <row r="38" spans="1:11" ht="12.75">
      <c r="A38" s="5">
        <f t="shared" si="1"/>
        <v>30</v>
      </c>
      <c r="B38" s="2" t="s">
        <v>48</v>
      </c>
      <c r="D38" s="60">
        <v>0.954998</v>
      </c>
      <c r="E38" s="61"/>
      <c r="F38" s="26"/>
      <c r="G38" s="26"/>
      <c r="H38" s="17"/>
      <c r="I38" s="17"/>
      <c r="J38" s="17"/>
      <c r="K38" s="17"/>
    </row>
    <row r="39" spans="1:11" ht="12.75">
      <c r="A39" s="5">
        <f t="shared" si="1"/>
        <v>31</v>
      </c>
      <c r="D39" s="15">
        <f>D37/D38</f>
        <v>1444760111.1933584</v>
      </c>
      <c r="E39" s="17"/>
      <c r="F39" s="26"/>
      <c r="G39" s="26"/>
      <c r="H39" s="32"/>
      <c r="I39" s="32"/>
      <c r="J39" s="32"/>
      <c r="K39" s="32"/>
    </row>
    <row r="40" spans="1:11" ht="12.75">
      <c r="A40" s="5">
        <f t="shared" si="1"/>
        <v>32</v>
      </c>
      <c r="B40" s="2" t="s">
        <v>49</v>
      </c>
      <c r="D40" s="54">
        <v>21143300</v>
      </c>
      <c r="E40" s="32" t="s">
        <v>50</v>
      </c>
      <c r="F40" s="26"/>
      <c r="G40" s="26"/>
      <c r="H40" s="17"/>
      <c r="I40" s="17"/>
      <c r="J40" s="17"/>
      <c r="K40" s="17"/>
    </row>
    <row r="41" spans="1:11" ht="12.75">
      <c r="A41" s="5">
        <f t="shared" si="1"/>
        <v>33</v>
      </c>
      <c r="B41" s="53"/>
      <c r="C41" s="53"/>
      <c r="D41" s="62"/>
      <c r="E41" s="62"/>
      <c r="F41" s="26"/>
      <c r="G41" s="26"/>
      <c r="H41" s="17"/>
      <c r="I41" s="17"/>
      <c r="J41" s="17"/>
      <c r="K41" s="17"/>
    </row>
    <row r="42" spans="1:11" ht="12.75">
      <c r="A42" s="5">
        <f t="shared" si="1"/>
        <v>34</v>
      </c>
      <c r="B42" s="53"/>
      <c r="C42" s="53"/>
      <c r="D42" s="63"/>
      <c r="E42" s="62"/>
      <c r="F42" s="26"/>
      <c r="G42" s="26"/>
      <c r="H42" s="17"/>
      <c r="I42" s="17"/>
      <c r="J42" s="17"/>
      <c r="K42" s="17"/>
    </row>
    <row r="43" spans="1:11" ht="12.75">
      <c r="A43" s="5">
        <f t="shared" si="1"/>
        <v>35</v>
      </c>
      <c r="B43" s="53"/>
      <c r="C43" s="53"/>
      <c r="D43" s="62"/>
      <c r="E43" s="62"/>
      <c r="F43" s="26"/>
      <c r="G43" s="26"/>
      <c r="H43" s="17"/>
      <c r="I43" s="17"/>
      <c r="J43" s="17"/>
      <c r="K43" s="17"/>
    </row>
    <row r="44" spans="1:11" ht="12.75">
      <c r="A44" s="5">
        <f t="shared" si="1"/>
        <v>36</v>
      </c>
      <c r="B44" s="53"/>
      <c r="C44" s="53"/>
      <c r="D44" s="64" t="s">
        <v>51</v>
      </c>
      <c r="E44" s="26"/>
      <c r="F44" s="65"/>
      <c r="G44" s="66" t="s">
        <v>52</v>
      </c>
      <c r="H44" s="67"/>
      <c r="I44" s="67"/>
      <c r="J44" s="67"/>
      <c r="K44" s="67"/>
    </row>
    <row r="45" spans="1:11" ht="12.75">
      <c r="A45" s="5">
        <f t="shared" si="1"/>
        <v>37</v>
      </c>
      <c r="B45" s="53"/>
      <c r="C45" s="53"/>
      <c r="D45" s="68" t="s">
        <v>53</v>
      </c>
      <c r="E45" s="26"/>
      <c r="F45" s="65"/>
      <c r="G45" s="69" t="s">
        <v>53</v>
      </c>
      <c r="H45" s="70"/>
      <c r="I45" s="70"/>
      <c r="J45" s="70"/>
      <c r="K45" s="70"/>
    </row>
    <row r="46" spans="1:11" ht="12.75" customHeight="1">
      <c r="A46" s="5">
        <f t="shared" si="1"/>
        <v>38</v>
      </c>
      <c r="B46" s="71" t="s">
        <v>54</v>
      </c>
      <c r="C46" s="53"/>
      <c r="D46" s="72"/>
      <c r="E46" s="26"/>
      <c r="F46" s="26"/>
      <c r="G46" s="73"/>
      <c r="H46" s="70"/>
      <c r="I46" s="70"/>
      <c r="J46" s="70"/>
      <c r="K46" s="70"/>
    </row>
    <row r="47" spans="1:11" ht="12.75">
      <c r="A47" s="5">
        <f t="shared" si="1"/>
        <v>39</v>
      </c>
      <c r="B47" s="53" t="s">
        <v>55</v>
      </c>
      <c r="C47" s="53"/>
      <c r="D47" s="74">
        <f>E37</f>
        <v>65.257</v>
      </c>
      <c r="E47" s="502">
        <f>+E37/$D$38</f>
        <v>68.33208027660791</v>
      </c>
      <c r="F47" s="503"/>
      <c r="G47" s="503"/>
      <c r="H47" s="70"/>
      <c r="I47" s="70"/>
      <c r="J47" s="70"/>
      <c r="K47" s="70"/>
    </row>
    <row r="48" spans="1:11" ht="13.5" customHeight="1">
      <c r="A48" s="5">
        <f t="shared" si="1"/>
        <v>40</v>
      </c>
      <c r="B48" s="75" t="s">
        <v>56</v>
      </c>
      <c r="C48" s="53"/>
      <c r="D48" s="74">
        <f>SUMIF($F$13:$F$36,"(a)",E13:E36)</f>
        <v>24.458</v>
      </c>
      <c r="E48" s="502">
        <f>D48/$D$38</f>
        <v>25.61052483879547</v>
      </c>
      <c r="F48" s="503"/>
      <c r="G48" s="503"/>
      <c r="H48" s="67"/>
      <c r="I48" s="67"/>
      <c r="J48" s="67"/>
      <c r="K48" s="67"/>
    </row>
    <row r="49" spans="1:11" ht="12.75">
      <c r="A49" s="5">
        <f t="shared" si="1"/>
        <v>41</v>
      </c>
      <c r="B49" s="53" t="s">
        <v>57</v>
      </c>
      <c r="C49" s="53"/>
      <c r="D49" s="74">
        <f>E37</f>
        <v>65.257</v>
      </c>
      <c r="E49" s="502">
        <f>D49/$D$38</f>
        <v>68.33208027660791</v>
      </c>
      <c r="F49" s="503"/>
      <c r="G49" s="503"/>
      <c r="H49" s="17"/>
      <c r="I49" s="17"/>
      <c r="J49" s="17"/>
      <c r="K49" s="17"/>
    </row>
    <row r="50" spans="1:11" ht="12.75">
      <c r="A50" s="5">
        <f t="shared" si="1"/>
        <v>42</v>
      </c>
      <c r="B50" s="75" t="s">
        <v>58</v>
      </c>
      <c r="C50" s="76"/>
      <c r="D50" s="74">
        <f>SUMIF($G$13:$G$36,"(c)",E13:E36)</f>
        <v>40.79900000000001</v>
      </c>
      <c r="E50" s="502">
        <f>D50/$D$38</f>
        <v>42.72155543781244</v>
      </c>
      <c r="F50" s="503"/>
      <c r="G50" s="503"/>
      <c r="H50" s="17"/>
      <c r="I50" s="17"/>
      <c r="J50" s="17"/>
      <c r="K50" s="17"/>
    </row>
    <row r="51" spans="1:11" ht="13.5">
      <c r="A51" s="77"/>
      <c r="D51" s="26"/>
      <c r="E51" s="26"/>
      <c r="F51" s="26"/>
      <c r="G51" s="26"/>
      <c r="H51" s="17"/>
      <c r="I51" s="17"/>
      <c r="J51" s="17"/>
      <c r="K51" s="17"/>
    </row>
    <row r="52" spans="4:11" ht="12.75">
      <c r="D52" s="26"/>
      <c r="E52" s="26"/>
      <c r="F52" s="26"/>
      <c r="G52" s="26"/>
      <c r="H52" s="17"/>
      <c r="I52" s="17"/>
      <c r="J52" s="17"/>
      <c r="K52" s="17"/>
    </row>
    <row r="53" spans="4:11" ht="12.75">
      <c r="D53" s="56"/>
      <c r="E53" s="26"/>
      <c r="F53" s="26"/>
      <c r="G53" s="26"/>
      <c r="H53" s="17"/>
      <c r="I53" s="17"/>
      <c r="J53" s="17"/>
      <c r="K53" s="17"/>
    </row>
    <row r="54" spans="4:11" ht="12.75">
      <c r="D54" s="26"/>
      <c r="E54" s="26"/>
      <c r="F54" s="26"/>
      <c r="G54" s="26"/>
      <c r="H54" s="17"/>
      <c r="I54" s="17"/>
      <c r="J54" s="17"/>
      <c r="K54" s="17"/>
    </row>
    <row r="55" spans="9:11" ht="12.75">
      <c r="I55" s="17"/>
      <c r="J55" s="17"/>
      <c r="K55" s="17"/>
    </row>
    <row r="56" spans="9:11" ht="12.75">
      <c r="I56" s="17"/>
      <c r="J56" s="17"/>
      <c r="K56" s="17"/>
    </row>
    <row r="57" spans="9:11" ht="12.75">
      <c r="I57" s="17"/>
      <c r="J57" s="17"/>
      <c r="K57" s="17"/>
    </row>
    <row r="58" spans="9:11" ht="12.75">
      <c r="I58" s="26"/>
      <c r="J58" s="26"/>
      <c r="K58" s="26"/>
    </row>
    <row r="59" spans="9:11" ht="12.75">
      <c r="I59" s="26"/>
      <c r="J59" s="26"/>
      <c r="K59" s="26"/>
    </row>
    <row r="60" spans="9:11" ht="12.75">
      <c r="I60" s="17"/>
      <c r="J60" s="17"/>
      <c r="K60" s="17"/>
    </row>
    <row r="61" spans="9:11" ht="12.75">
      <c r="I61" s="16"/>
      <c r="J61" s="16"/>
      <c r="K61" s="16"/>
    </row>
    <row r="62" spans="9:11" ht="12.75">
      <c r="I62" s="17"/>
      <c r="J62" s="17"/>
      <c r="K62" s="17"/>
    </row>
    <row r="63" spans="9:11" ht="12.75">
      <c r="I63" s="17"/>
      <c r="J63" s="17"/>
      <c r="K63" s="17"/>
    </row>
    <row r="64" spans="9:11" ht="12.75">
      <c r="I64" s="17"/>
      <c r="J64" s="17"/>
      <c r="K64" s="17"/>
    </row>
    <row r="65" spans="9:11" ht="12.75">
      <c r="I65" s="17"/>
      <c r="J65" s="17"/>
      <c r="K65" s="17"/>
    </row>
    <row r="66" spans="9:11" ht="12.75">
      <c r="I66" s="17"/>
      <c r="J66" s="17"/>
      <c r="K66" s="17"/>
    </row>
    <row r="67" spans="9:11" ht="12.75">
      <c r="I67" s="17"/>
      <c r="J67" s="17"/>
      <c r="K67" s="17"/>
    </row>
    <row r="68" spans="9:11" ht="12.75">
      <c r="I68" s="17"/>
      <c r="J68" s="17"/>
      <c r="K68" s="17"/>
    </row>
    <row r="69" spans="9:11" ht="12.75">
      <c r="I69" s="17"/>
      <c r="J69" s="17"/>
      <c r="K69" s="17"/>
    </row>
    <row r="70" spans="9:11" ht="12.75">
      <c r="I70" s="17"/>
      <c r="J70" s="17"/>
      <c r="K70" s="17"/>
    </row>
    <row r="71" spans="9:11" ht="12.75">
      <c r="I71" s="17"/>
      <c r="J71" s="17"/>
      <c r="K71" s="17"/>
    </row>
    <row r="72" spans="4:11" ht="12.75">
      <c r="D72" s="79"/>
      <c r="E72" s="26"/>
      <c r="F72" s="26"/>
      <c r="G72" s="26"/>
      <c r="H72" s="17"/>
      <c r="I72" s="17"/>
      <c r="J72" s="17"/>
      <c r="K72" s="17"/>
    </row>
  </sheetData>
  <sheetProtection/>
  <mergeCells count="5">
    <mergeCell ref="E48:G48"/>
    <mergeCell ref="E49:G49"/>
    <mergeCell ref="E50:G50"/>
    <mergeCell ref="F37:G37"/>
    <mergeCell ref="E47:G47"/>
  </mergeCells>
  <printOptions horizontalCentered="1"/>
  <pageMargins left="0.5" right="0.5" top="0.72" bottom="0.71" header="0.5" footer="0.28"/>
  <pageSetup fitToHeight="1" fitToWidth="1" horizontalDpi="600" verticalDpi="600" orientation="portrait" scale="77" r:id="rId1"/>
  <headerFooter alignWithMargins="0">
    <oddHeader>&amp;R&amp;"Helv,Bold"&amp;10
</oddHeader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view="pageLayout" workbookViewId="0" topLeftCell="A1">
      <selection activeCell="I11" sqref="I11"/>
    </sheetView>
  </sheetViews>
  <sheetFormatPr defaultColWidth="11.5" defaultRowHeight="10.5"/>
  <cols>
    <col min="1" max="1" width="5.83203125" style="80" bestFit="1" customWidth="1"/>
    <col min="2" max="2" width="13" style="80" customWidth="1"/>
    <col min="3" max="3" width="37.33203125" style="80" customWidth="1"/>
    <col min="4" max="4" width="2.66015625" style="81" customWidth="1"/>
    <col min="5" max="5" width="19.16015625" style="80" customWidth="1"/>
    <col min="6" max="6" width="21.33203125" style="80" customWidth="1"/>
    <col min="7" max="7" width="17.66015625" style="80" bestFit="1" customWidth="1"/>
    <col min="8" max="8" width="2.5" style="80" customWidth="1"/>
    <col min="9" max="9" width="16.33203125" style="80" customWidth="1"/>
    <col min="10" max="10" width="10.33203125" style="80" customWidth="1"/>
    <col min="11" max="11" width="13.5" style="80" customWidth="1"/>
    <col min="12" max="12" width="15.5" style="80" customWidth="1"/>
    <col min="13" max="16384" width="11.5" style="80" customWidth="1"/>
  </cols>
  <sheetData>
    <row r="1" spans="7:9" ht="12.75">
      <c r="G1" s="82"/>
      <c r="I1" s="3"/>
    </row>
    <row r="2" ht="12.75">
      <c r="G2" s="82"/>
    </row>
    <row r="3" ht="12.75">
      <c r="G3" s="82"/>
    </row>
    <row r="4" spans="1:7" ht="18">
      <c r="A4" s="83" t="s">
        <v>68</v>
      </c>
      <c r="G4" s="82"/>
    </row>
    <row r="6" spans="1:9" ht="12.75">
      <c r="A6" s="84" t="s">
        <v>2</v>
      </c>
      <c r="B6" s="80" t="s">
        <v>43</v>
      </c>
      <c r="E6" s="84" t="s">
        <v>69</v>
      </c>
      <c r="F6" s="84" t="s">
        <v>70</v>
      </c>
      <c r="G6" s="84"/>
      <c r="H6" s="85"/>
      <c r="I6" s="84" t="s">
        <v>71</v>
      </c>
    </row>
    <row r="7" spans="1:9" ht="12.75">
      <c r="A7" s="84">
        <f>ROW()</f>
        <v>7</v>
      </c>
      <c r="B7" s="86"/>
      <c r="E7" s="87" t="s">
        <v>72</v>
      </c>
      <c r="F7" s="88" t="s">
        <v>73</v>
      </c>
      <c r="G7" s="88" t="s">
        <v>74</v>
      </c>
      <c r="H7" s="89"/>
      <c r="I7" s="87" t="s">
        <v>75</v>
      </c>
    </row>
    <row r="8" spans="1:2" ht="12.75">
      <c r="A8" s="84">
        <f>ROW()</f>
        <v>8</v>
      </c>
      <c r="B8" s="86"/>
    </row>
    <row r="9" spans="1:8" ht="12.75">
      <c r="A9" s="84">
        <v>6</v>
      </c>
      <c r="B9" s="90"/>
      <c r="C9" s="91" t="s">
        <v>76</v>
      </c>
      <c r="D9" s="91"/>
      <c r="H9" s="81"/>
    </row>
    <row r="10" spans="1:9" ht="12.75">
      <c r="A10" s="84">
        <v>7</v>
      </c>
      <c r="B10" s="90" t="s">
        <v>77</v>
      </c>
      <c r="C10" s="91" t="s">
        <v>78</v>
      </c>
      <c r="D10" s="91"/>
      <c r="E10" s="489">
        <v>10246.74</v>
      </c>
      <c r="F10" s="489">
        <v>0</v>
      </c>
      <c r="G10" s="490">
        <v>10246.74</v>
      </c>
      <c r="H10" s="93"/>
      <c r="I10" s="92">
        <v>0</v>
      </c>
    </row>
    <row r="11" spans="1:9" ht="12.75">
      <c r="A11" s="84">
        <v>8</v>
      </c>
      <c r="B11" s="90" t="s">
        <v>79</v>
      </c>
      <c r="C11" s="91" t="s">
        <v>80</v>
      </c>
      <c r="D11" s="91"/>
      <c r="E11" s="82">
        <v>685927</v>
      </c>
      <c r="F11" s="82">
        <v>-410851</v>
      </c>
      <c r="G11" s="94">
        <v>275076</v>
      </c>
      <c r="H11" s="95"/>
      <c r="I11" s="94">
        <v>13032.6</v>
      </c>
    </row>
    <row r="12" spans="1:9" ht="12.75">
      <c r="A12" s="84">
        <v>9</v>
      </c>
      <c r="B12" s="90" t="s">
        <v>81</v>
      </c>
      <c r="C12" s="91" t="s">
        <v>82</v>
      </c>
      <c r="D12" s="91"/>
      <c r="E12" s="82">
        <v>1231131</v>
      </c>
      <c r="F12" s="82">
        <v>-977385</v>
      </c>
      <c r="G12" s="94">
        <v>253746</v>
      </c>
      <c r="H12" s="95"/>
      <c r="I12" s="94">
        <v>25976.88</v>
      </c>
    </row>
    <row r="13" spans="1:9" ht="12.75">
      <c r="A13" s="84">
        <v>10</v>
      </c>
      <c r="B13" s="90" t="s">
        <v>83</v>
      </c>
      <c r="C13" s="91" t="s">
        <v>84</v>
      </c>
      <c r="D13" s="91"/>
      <c r="E13" s="82">
        <v>14555900</v>
      </c>
      <c r="F13" s="82">
        <v>-9079746</v>
      </c>
      <c r="G13" s="94">
        <v>5476154</v>
      </c>
      <c r="H13" s="95"/>
      <c r="I13" s="94">
        <v>243073.52000000002</v>
      </c>
    </row>
    <row r="14" spans="1:9" ht="12.75">
      <c r="A14" s="84">
        <v>11</v>
      </c>
      <c r="B14" s="90" t="s">
        <v>85</v>
      </c>
      <c r="C14" s="91" t="s">
        <v>86</v>
      </c>
      <c r="D14" s="91"/>
      <c r="E14" s="82">
        <v>49007</v>
      </c>
      <c r="F14" s="82">
        <v>-48986</v>
      </c>
      <c r="G14" s="94">
        <v>21</v>
      </c>
      <c r="H14" s="95"/>
      <c r="I14" s="94">
        <v>1480.08</v>
      </c>
    </row>
    <row r="15" spans="1:9" ht="12.75">
      <c r="A15" s="84">
        <v>12</v>
      </c>
      <c r="B15" s="90" t="s">
        <v>87</v>
      </c>
      <c r="C15" s="91" t="s">
        <v>88</v>
      </c>
      <c r="D15" s="91"/>
      <c r="E15" s="82">
        <v>13158153</v>
      </c>
      <c r="F15" s="82">
        <v>-8931160</v>
      </c>
      <c r="G15" s="94">
        <v>4226993</v>
      </c>
      <c r="H15" s="95"/>
      <c r="I15" s="94">
        <v>277636.92</v>
      </c>
    </row>
    <row r="16" spans="1:9" ht="12.75">
      <c r="A16" s="84">
        <v>13</v>
      </c>
      <c r="B16" s="90" t="s">
        <v>89</v>
      </c>
      <c r="C16" s="91" t="s">
        <v>90</v>
      </c>
      <c r="D16" s="91"/>
      <c r="E16" s="82">
        <v>113968</v>
      </c>
      <c r="F16" s="82">
        <v>-67588</v>
      </c>
      <c r="G16" s="94">
        <v>46380</v>
      </c>
      <c r="H16" s="95"/>
      <c r="I16" s="94">
        <v>1629.72</v>
      </c>
    </row>
    <row r="17" spans="1:9" ht="12.75">
      <c r="A17" s="84">
        <v>14</v>
      </c>
      <c r="B17" s="90"/>
      <c r="C17" s="96"/>
      <c r="D17" s="96"/>
      <c r="E17" s="97">
        <f>SUM(E10:E16)</f>
        <v>29804332.740000002</v>
      </c>
      <c r="F17" s="97">
        <f>SUM(F10:F16)</f>
        <v>-19515716</v>
      </c>
      <c r="G17" s="97">
        <f>SUM(G10:G16)</f>
        <v>10288616.74</v>
      </c>
      <c r="H17" s="98"/>
      <c r="I17" s="97">
        <v>562829.72</v>
      </c>
    </row>
    <row r="18" spans="1:9" ht="12.75">
      <c r="A18" s="84">
        <v>15</v>
      </c>
      <c r="B18" s="90"/>
      <c r="C18" s="91"/>
      <c r="D18" s="91"/>
      <c r="E18" s="99"/>
      <c r="F18" s="99"/>
      <c r="G18" s="97"/>
      <c r="H18" s="98"/>
      <c r="I18" s="97"/>
    </row>
    <row r="19" spans="1:9" ht="12.75">
      <c r="A19" s="84">
        <v>16</v>
      </c>
      <c r="B19" s="90"/>
      <c r="C19" s="91" t="s">
        <v>91</v>
      </c>
      <c r="D19" s="91"/>
      <c r="E19" s="100"/>
      <c r="F19" s="100"/>
      <c r="G19" s="101"/>
      <c r="H19" s="98"/>
      <c r="I19" s="101"/>
    </row>
    <row r="20" spans="1:9" ht="12.75">
      <c r="A20" s="84">
        <v>17</v>
      </c>
      <c r="B20" s="90" t="s">
        <v>79</v>
      </c>
      <c r="C20" s="91" t="s">
        <v>80</v>
      </c>
      <c r="D20" s="91"/>
      <c r="E20" s="82">
        <v>1071124</v>
      </c>
      <c r="F20" s="82">
        <v>-629893</v>
      </c>
      <c r="G20" s="94">
        <v>441231</v>
      </c>
      <c r="H20" s="95"/>
      <c r="I20" s="82">
        <v>20351.4</v>
      </c>
    </row>
    <row r="21" spans="1:9" ht="12.75">
      <c r="A21" s="84">
        <v>18</v>
      </c>
      <c r="B21" s="90" t="s">
        <v>92</v>
      </c>
      <c r="C21" s="91" t="s">
        <v>93</v>
      </c>
      <c r="D21" s="91"/>
      <c r="E21" s="82">
        <v>488761</v>
      </c>
      <c r="F21" s="82">
        <v>-289792</v>
      </c>
      <c r="G21" s="94">
        <v>198969</v>
      </c>
      <c r="H21" s="95"/>
      <c r="I21" s="82">
        <v>8308.92</v>
      </c>
    </row>
    <row r="22" spans="1:9" ht="12.75">
      <c r="A22" s="84">
        <v>19</v>
      </c>
      <c r="B22" s="90" t="s">
        <v>81</v>
      </c>
      <c r="C22" s="91" t="s">
        <v>82</v>
      </c>
      <c r="D22" s="91"/>
      <c r="E22" s="82">
        <v>19708485</v>
      </c>
      <c r="F22" s="82">
        <v>-11596586</v>
      </c>
      <c r="G22" s="94">
        <v>8111899</v>
      </c>
      <c r="H22" s="95"/>
      <c r="I22" s="82">
        <v>415074.29</v>
      </c>
    </row>
    <row r="23" spans="1:9" ht="12.75">
      <c r="A23" s="84">
        <v>20</v>
      </c>
      <c r="B23" s="90" t="s">
        <v>83</v>
      </c>
      <c r="C23" s="91" t="s">
        <v>84</v>
      </c>
      <c r="D23" s="91"/>
      <c r="E23" s="82">
        <v>20580759</v>
      </c>
      <c r="F23" s="82">
        <v>-12558757</v>
      </c>
      <c r="G23" s="94">
        <v>8022002</v>
      </c>
      <c r="H23" s="95"/>
      <c r="I23" s="82">
        <v>343687.59</v>
      </c>
    </row>
    <row r="24" spans="1:9" ht="12.75">
      <c r="A24" s="84">
        <v>21</v>
      </c>
      <c r="B24" s="90" t="s">
        <v>85</v>
      </c>
      <c r="C24" s="91" t="s">
        <v>86</v>
      </c>
      <c r="D24" s="91"/>
      <c r="E24" s="82">
        <v>88692</v>
      </c>
      <c r="F24" s="82">
        <v>-34278</v>
      </c>
      <c r="G24" s="94">
        <v>54414</v>
      </c>
      <c r="H24" s="95"/>
      <c r="I24" s="82">
        <v>2678.52</v>
      </c>
    </row>
    <row r="25" spans="1:9" ht="12.75">
      <c r="A25" s="84">
        <v>22</v>
      </c>
      <c r="B25" s="90" t="s">
        <v>87</v>
      </c>
      <c r="C25" s="91" t="s">
        <v>88</v>
      </c>
      <c r="D25" s="91"/>
      <c r="E25" s="82">
        <v>19991226</v>
      </c>
      <c r="F25" s="82">
        <v>-13315474</v>
      </c>
      <c r="G25" s="94">
        <v>6675752</v>
      </c>
      <c r="H25" s="95"/>
      <c r="I25" s="82">
        <v>421814.76</v>
      </c>
    </row>
    <row r="26" spans="1:9" ht="12.75">
      <c r="A26" s="84">
        <v>23</v>
      </c>
      <c r="B26" s="90" t="s">
        <v>89</v>
      </c>
      <c r="C26" s="91" t="s">
        <v>90</v>
      </c>
      <c r="D26" s="91"/>
      <c r="E26" s="82">
        <v>341015</v>
      </c>
      <c r="F26" s="82">
        <v>-199610</v>
      </c>
      <c r="G26" s="94">
        <v>141405</v>
      </c>
      <c r="H26" s="95"/>
      <c r="I26" s="82">
        <v>4876.56</v>
      </c>
    </row>
    <row r="27" spans="1:9" ht="12.75">
      <c r="A27" s="84">
        <v>24</v>
      </c>
      <c r="B27" s="90"/>
      <c r="C27" s="96"/>
      <c r="D27" s="96"/>
      <c r="E27" s="97">
        <f>SUM(E20:E26)</f>
        <v>62270062</v>
      </c>
      <c r="F27" s="97">
        <f>SUM(F20:F26)</f>
        <v>-38624390</v>
      </c>
      <c r="G27" s="97">
        <f>SUM(G20:G26)</f>
        <v>23645672</v>
      </c>
      <c r="H27" s="98"/>
      <c r="I27" s="97">
        <v>1216792.04</v>
      </c>
    </row>
    <row r="28" spans="1:9" ht="12.75">
      <c r="A28" s="84">
        <v>25</v>
      </c>
      <c r="B28" s="90"/>
      <c r="C28" s="102"/>
      <c r="D28" s="102"/>
      <c r="E28" s="99"/>
      <c r="F28" s="99"/>
      <c r="G28" s="97"/>
      <c r="H28" s="98"/>
      <c r="I28" s="97"/>
    </row>
    <row r="29" spans="1:9" ht="12.75">
      <c r="A29" s="84">
        <v>26</v>
      </c>
      <c r="B29" s="90"/>
      <c r="C29" s="91" t="s">
        <v>94</v>
      </c>
      <c r="D29" s="91"/>
      <c r="E29" s="100"/>
      <c r="F29" s="100"/>
      <c r="G29" s="101"/>
      <c r="H29" s="98"/>
      <c r="I29" s="101"/>
    </row>
    <row r="30" spans="1:9" ht="12.75">
      <c r="A30" s="84">
        <v>27</v>
      </c>
      <c r="B30" s="103" t="s">
        <v>77</v>
      </c>
      <c r="C30" s="104" t="s">
        <v>78</v>
      </c>
      <c r="D30" s="91"/>
      <c r="E30" s="82">
        <v>1769178.02</v>
      </c>
      <c r="F30" s="82">
        <v>0</v>
      </c>
      <c r="G30" s="94">
        <v>1769178.02</v>
      </c>
      <c r="H30" s="95"/>
      <c r="I30" s="94">
        <v>0</v>
      </c>
    </row>
    <row r="31" spans="1:9" ht="12.75">
      <c r="A31" s="84">
        <v>28</v>
      </c>
      <c r="B31" s="103" t="s">
        <v>92</v>
      </c>
      <c r="C31" s="104" t="s">
        <v>93</v>
      </c>
      <c r="D31" s="91"/>
      <c r="E31" s="82">
        <v>1276264</v>
      </c>
      <c r="F31" s="82">
        <v>-392280</v>
      </c>
      <c r="G31" s="94">
        <v>883984</v>
      </c>
      <c r="H31" s="95"/>
      <c r="I31" s="94">
        <v>21696.48</v>
      </c>
    </row>
    <row r="32" spans="1:9" ht="12.75">
      <c r="A32" s="84">
        <v>29</v>
      </c>
      <c r="B32" s="103" t="s">
        <v>81</v>
      </c>
      <c r="C32" s="104" t="s">
        <v>82</v>
      </c>
      <c r="D32" s="91"/>
      <c r="E32" s="82">
        <v>32769281</v>
      </c>
      <c r="F32" s="82">
        <v>-12112963</v>
      </c>
      <c r="G32" s="94">
        <v>20656318</v>
      </c>
      <c r="H32" s="95"/>
      <c r="I32" s="94">
        <v>691431.84</v>
      </c>
    </row>
    <row r="33" spans="1:9" ht="12.75">
      <c r="A33" s="84">
        <v>30</v>
      </c>
      <c r="B33" s="103" t="s">
        <v>83</v>
      </c>
      <c r="C33" s="104" t="s">
        <v>84</v>
      </c>
      <c r="D33" s="91"/>
      <c r="E33" s="82">
        <v>22781417</v>
      </c>
      <c r="F33" s="82">
        <v>-7135115</v>
      </c>
      <c r="G33" s="94">
        <v>15646302</v>
      </c>
      <c r="H33" s="95"/>
      <c r="I33" s="94">
        <v>380449.56</v>
      </c>
    </row>
    <row r="34" spans="1:9" ht="12.75">
      <c r="A34" s="84">
        <v>31</v>
      </c>
      <c r="B34" s="103" t="s">
        <v>85</v>
      </c>
      <c r="C34" s="104" t="s">
        <v>86</v>
      </c>
      <c r="D34" s="91"/>
      <c r="E34" s="82">
        <v>204200</v>
      </c>
      <c r="F34" s="82">
        <v>-70037</v>
      </c>
      <c r="G34" s="94">
        <v>134163</v>
      </c>
      <c r="H34" s="95"/>
      <c r="I34" s="94">
        <v>6166.92</v>
      </c>
    </row>
    <row r="35" spans="1:9" ht="12.75">
      <c r="A35" s="84">
        <v>32</v>
      </c>
      <c r="B35" s="103" t="s">
        <v>87</v>
      </c>
      <c r="C35" s="104" t="s">
        <v>88</v>
      </c>
      <c r="D35" s="91"/>
      <c r="E35" s="82">
        <v>23498389</v>
      </c>
      <c r="F35" s="82">
        <v>-9910549</v>
      </c>
      <c r="G35" s="94">
        <v>13587840</v>
      </c>
      <c r="H35" s="95"/>
      <c r="I35" s="94">
        <v>495816</v>
      </c>
    </row>
    <row r="36" spans="1:9" ht="12.75">
      <c r="A36" s="84">
        <v>33</v>
      </c>
      <c r="B36" s="103" t="s">
        <v>89</v>
      </c>
      <c r="C36" s="104" t="s">
        <v>90</v>
      </c>
      <c r="D36" s="91"/>
      <c r="E36" s="82">
        <v>59215</v>
      </c>
      <c r="F36" s="82">
        <v>-10155</v>
      </c>
      <c r="G36" s="94">
        <v>49060</v>
      </c>
      <c r="H36" s="95"/>
      <c r="I36" s="94">
        <v>846.72</v>
      </c>
    </row>
    <row r="37" spans="1:9" ht="12.75">
      <c r="A37" s="84">
        <v>35</v>
      </c>
      <c r="B37" s="90"/>
      <c r="C37" s="96"/>
      <c r="D37" s="96"/>
      <c r="E37" s="97">
        <f>SUM(E30:E36)</f>
        <v>82357944.02000001</v>
      </c>
      <c r="F37" s="97">
        <f>SUM(F30:F36)</f>
        <v>-29631099</v>
      </c>
      <c r="G37" s="97">
        <f>SUM(G30:G36)</f>
        <v>52726845.019999996</v>
      </c>
      <c r="H37" s="98"/>
      <c r="I37" s="97">
        <v>1596407.5199999998</v>
      </c>
    </row>
    <row r="38" spans="1:9" ht="12.75">
      <c r="A38" s="84">
        <v>36</v>
      </c>
      <c r="B38" s="90"/>
      <c r="C38" s="102"/>
      <c r="D38" s="102"/>
      <c r="E38" s="99"/>
      <c r="F38" s="99"/>
      <c r="G38" s="97"/>
      <c r="H38" s="98"/>
      <c r="I38" s="97"/>
    </row>
    <row r="39" spans="1:9" ht="12.75">
      <c r="A39" s="84">
        <v>37</v>
      </c>
      <c r="B39" s="90"/>
      <c r="C39" s="91" t="s">
        <v>95</v>
      </c>
      <c r="D39" s="91"/>
      <c r="E39" s="100"/>
      <c r="F39" s="100"/>
      <c r="G39" s="101"/>
      <c r="H39" s="98"/>
      <c r="I39" s="101"/>
    </row>
    <row r="40" spans="1:9" ht="12.75">
      <c r="A40" s="84">
        <v>38</v>
      </c>
      <c r="B40" s="103" t="s">
        <v>77</v>
      </c>
      <c r="C40" s="104" t="s">
        <v>78</v>
      </c>
      <c r="D40" s="91"/>
      <c r="E40" s="82">
        <v>30604.26</v>
      </c>
      <c r="F40" s="82">
        <v>0</v>
      </c>
      <c r="G40" s="94">
        <v>30604.26</v>
      </c>
      <c r="H40" s="95"/>
      <c r="I40" s="94"/>
    </row>
    <row r="41" spans="1:9" ht="12.75">
      <c r="A41" s="84">
        <v>39</v>
      </c>
      <c r="B41" s="103" t="s">
        <v>83</v>
      </c>
      <c r="C41" s="104" t="s">
        <v>84</v>
      </c>
      <c r="D41" s="91"/>
      <c r="E41" s="82">
        <v>4786748</v>
      </c>
      <c r="F41" s="82">
        <v>-1234196</v>
      </c>
      <c r="G41" s="94">
        <v>3552552</v>
      </c>
      <c r="H41" s="95">
        <v>95926.44</v>
      </c>
      <c r="I41" s="94">
        <v>95926.44</v>
      </c>
    </row>
    <row r="42" spans="1:9" ht="12.75">
      <c r="A42" s="84">
        <v>40</v>
      </c>
      <c r="B42" s="103" t="s">
        <v>85</v>
      </c>
      <c r="C42" s="104" t="s">
        <v>86</v>
      </c>
      <c r="D42" s="91"/>
      <c r="E42" s="82">
        <v>3412478</v>
      </c>
      <c r="F42" s="82">
        <v>-1257397</v>
      </c>
      <c r="G42" s="94">
        <v>2155081</v>
      </c>
      <c r="H42" s="95">
        <v>104589.66</v>
      </c>
      <c r="I42" s="94">
        <v>104589.66</v>
      </c>
    </row>
    <row r="43" spans="1:9" ht="12.75">
      <c r="A43" s="84">
        <v>41</v>
      </c>
      <c r="B43" s="103" t="s">
        <v>87</v>
      </c>
      <c r="C43" s="104" t="s">
        <v>88</v>
      </c>
      <c r="D43" s="91"/>
      <c r="E43" s="82">
        <v>11363534</v>
      </c>
      <c r="F43" s="82">
        <v>-3874637</v>
      </c>
      <c r="G43" s="94">
        <v>7488897</v>
      </c>
      <c r="H43" s="95">
        <v>266953.59</v>
      </c>
      <c r="I43" s="94">
        <v>266953.59</v>
      </c>
    </row>
    <row r="44" spans="1:9" ht="12.75">
      <c r="A44" s="84">
        <v>44</v>
      </c>
      <c r="B44" s="90"/>
      <c r="C44" s="96"/>
      <c r="D44" s="96"/>
      <c r="E44" s="97">
        <f>SUM(E40:E43)</f>
        <v>19593364.259999998</v>
      </c>
      <c r="F44" s="97">
        <f>SUM(F40:F43)</f>
        <v>-6366230</v>
      </c>
      <c r="G44" s="97">
        <f>SUM(G40:G43)</f>
        <v>13227134.26</v>
      </c>
      <c r="H44" s="98"/>
      <c r="I44" s="97">
        <v>467469.69000000006</v>
      </c>
    </row>
    <row r="45" spans="1:9" ht="12.75">
      <c r="A45" s="84">
        <v>45</v>
      </c>
      <c r="B45" s="90"/>
      <c r="C45" s="105"/>
      <c r="D45" s="105"/>
      <c r="E45" s="97"/>
      <c r="F45" s="97"/>
      <c r="G45" s="97"/>
      <c r="H45" s="98"/>
      <c r="I45" s="97"/>
    </row>
    <row r="46" spans="1:9" ht="12.75">
      <c r="A46" s="84">
        <v>46</v>
      </c>
      <c r="B46" s="90"/>
      <c r="C46" s="102"/>
      <c r="D46" s="102"/>
      <c r="E46" s="101"/>
      <c r="F46" s="101"/>
      <c r="G46" s="101"/>
      <c r="H46" s="98"/>
      <c r="I46" s="101"/>
    </row>
    <row r="47" spans="1:9" ht="13.5" thickBot="1">
      <c r="A47" s="84">
        <v>47</v>
      </c>
      <c r="B47" s="91" t="s">
        <v>96</v>
      </c>
      <c r="C47" s="96"/>
      <c r="D47" s="96"/>
      <c r="E47" s="106">
        <f>E17+E27+E37+E44</f>
        <v>194025703.02</v>
      </c>
      <c r="F47" s="106">
        <f>F17+F27+F37+F44</f>
        <v>-94137435</v>
      </c>
      <c r="G47" s="106">
        <f>G17+G27+G37+G44</f>
        <v>99888268.02</v>
      </c>
      <c r="H47" s="93"/>
      <c r="I47" s="106">
        <f>I17+I27+I37+I44</f>
        <v>3843498.9699999997</v>
      </c>
    </row>
    <row r="48" spans="1:9" ht="13.5" thickTop="1">
      <c r="A48" s="84">
        <v>48</v>
      </c>
      <c r="B48" s="80" t="s">
        <v>97</v>
      </c>
      <c r="C48" s="96"/>
      <c r="D48" s="96"/>
      <c r="E48" s="98">
        <f>F47</f>
        <v>-94137435</v>
      </c>
      <c r="F48" s="98"/>
      <c r="G48" s="98"/>
      <c r="H48" s="98"/>
      <c r="I48" s="98"/>
    </row>
    <row r="49" spans="1:9" ht="12.75">
      <c r="A49" s="84">
        <v>49</v>
      </c>
      <c r="B49" s="80" t="s">
        <v>98</v>
      </c>
      <c r="C49" s="96"/>
      <c r="D49" s="96"/>
      <c r="E49" s="98">
        <v>-8651536.499999989</v>
      </c>
      <c r="F49" s="107"/>
      <c r="G49" s="96"/>
      <c r="H49" s="108"/>
      <c r="I49" s="96"/>
    </row>
    <row r="50" spans="1:9" ht="12.75">
      <c r="A50" s="84">
        <v>50</v>
      </c>
      <c r="B50" s="80" t="s">
        <v>99</v>
      </c>
      <c r="C50" s="96"/>
      <c r="D50" s="96"/>
      <c r="F50" s="81"/>
      <c r="G50" s="81"/>
      <c r="H50" s="81"/>
      <c r="I50" s="81"/>
    </row>
    <row r="51" spans="1:9" ht="12.75">
      <c r="A51" s="84">
        <v>51</v>
      </c>
      <c r="B51" s="109" t="s">
        <v>100</v>
      </c>
      <c r="C51" s="96"/>
      <c r="D51" s="96"/>
      <c r="E51" s="98">
        <v>2980141.1700000376</v>
      </c>
      <c r="F51" s="98"/>
      <c r="G51" s="98"/>
      <c r="H51" s="98"/>
      <c r="I51" s="98">
        <v>213630.15</v>
      </c>
    </row>
    <row r="52" spans="1:9" ht="12.75">
      <c r="A52" s="84">
        <v>52</v>
      </c>
      <c r="B52" s="109" t="s">
        <v>101</v>
      </c>
      <c r="C52" s="96"/>
      <c r="D52" s="96"/>
      <c r="E52" s="110">
        <v>482355.1495</v>
      </c>
      <c r="F52" s="98"/>
      <c r="G52" s="110"/>
      <c r="H52" s="98"/>
      <c r="I52" s="98">
        <v>34492.794</v>
      </c>
    </row>
    <row r="53" spans="1:9" ht="12.75">
      <c r="A53" s="84">
        <v>53</v>
      </c>
      <c r="C53" s="96"/>
      <c r="D53" s="96"/>
      <c r="E53" s="97"/>
      <c r="F53" s="98"/>
      <c r="G53" s="98"/>
      <c r="H53" s="98"/>
      <c r="I53" s="97"/>
    </row>
    <row r="54" spans="1:9" ht="13.5" thickBot="1">
      <c r="A54" s="84">
        <v>54</v>
      </c>
      <c r="B54" s="80" t="s">
        <v>102</v>
      </c>
      <c r="C54" s="96"/>
      <c r="D54" s="96"/>
      <c r="E54" s="106">
        <f>SUM(E47:E53)</f>
        <v>94699227.83950005</v>
      </c>
      <c r="F54" s="93"/>
      <c r="G54" s="93"/>
      <c r="H54" s="93"/>
      <c r="I54" s="106">
        <f>SUM(I47:I53)</f>
        <v>4091621.914</v>
      </c>
    </row>
    <row r="55" ht="13.5" thickTop="1"/>
    <row r="57" ht="12.75">
      <c r="A57" s="111"/>
    </row>
  </sheetData>
  <sheetProtection/>
  <printOptions horizontalCentered="1"/>
  <pageMargins left="0.5" right="0.5" top="0.75" bottom="0.25" header="0.32" footer="0.27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34"/>
  <sheetViews>
    <sheetView view="pageLayout" workbookViewId="0" topLeftCell="A1">
      <selection activeCell="H3" sqref="H3"/>
    </sheetView>
  </sheetViews>
  <sheetFormatPr defaultColWidth="10.66015625" defaultRowHeight="10.5"/>
  <cols>
    <col min="1" max="1" width="8" style="112" customWidth="1"/>
    <col min="2" max="2" width="14.83203125" style="114" customWidth="1"/>
    <col min="3" max="3" width="48" style="114" customWidth="1"/>
    <col min="4" max="4" width="17.33203125" style="114" customWidth="1"/>
    <col min="5" max="5" width="18" style="114" customWidth="1"/>
    <col min="6" max="6" width="18.83203125" style="114" customWidth="1"/>
    <col min="7" max="7" width="19.33203125" style="114" customWidth="1"/>
    <col min="8" max="8" width="19.16015625" style="114" customWidth="1"/>
    <col min="9" max="9" width="18.83203125" style="114" customWidth="1"/>
    <col min="10" max="10" width="20.16015625" style="114" customWidth="1"/>
    <col min="11" max="11" width="15" style="114" bestFit="1" customWidth="1"/>
    <col min="12" max="16384" width="10.66015625" style="114" customWidth="1"/>
  </cols>
  <sheetData>
    <row r="1" spans="2:9" ht="18">
      <c r="B1" s="113" t="s">
        <v>103</v>
      </c>
      <c r="H1" s="96"/>
      <c r="I1" s="3"/>
    </row>
    <row r="2" spans="1:8" ht="12.75">
      <c r="A2" s="112" t="s">
        <v>2</v>
      </c>
      <c r="B2" s="115" t="s">
        <v>104</v>
      </c>
      <c r="H2" s="96"/>
    </row>
    <row r="3" spans="1:8" ht="12.75">
      <c r="A3" s="112">
        <f>ROW()</f>
        <v>3</v>
      </c>
      <c r="C3" s="114" t="s">
        <v>69</v>
      </c>
      <c r="D3" s="491">
        <f>F67</f>
        <v>754943461.38375</v>
      </c>
      <c r="H3" s="96"/>
    </row>
    <row r="4" spans="1:9" ht="12.75">
      <c r="A4" s="112">
        <f>ROW()</f>
        <v>4</v>
      </c>
      <c r="C4" s="114" t="s">
        <v>105</v>
      </c>
      <c r="D4" s="116">
        <f>I67</f>
        <v>-446054900.65</v>
      </c>
      <c r="H4" s="96"/>
      <c r="I4" s="493"/>
    </row>
    <row r="5" spans="1:9" ht="12.75">
      <c r="A5" s="112">
        <f>ROW()</f>
        <v>5</v>
      </c>
      <c r="C5" s="117" t="s">
        <v>106</v>
      </c>
      <c r="D5" s="118">
        <v>-66724780.99999999</v>
      </c>
      <c r="H5" s="96"/>
      <c r="I5" s="96"/>
    </row>
    <row r="6" spans="1:9" ht="12.75">
      <c r="A6" s="112">
        <f>ROW()</f>
        <v>6</v>
      </c>
      <c r="C6" s="114" t="s">
        <v>107</v>
      </c>
      <c r="D6" s="119">
        <f>SUM(D3:D5)</f>
        <v>242163779.73375</v>
      </c>
      <c r="H6" s="120"/>
      <c r="I6" s="96"/>
    </row>
    <row r="7" spans="1:4" ht="12.75">
      <c r="A7" s="112">
        <f>ROW()</f>
        <v>7</v>
      </c>
      <c r="C7" s="114" t="s">
        <v>108</v>
      </c>
      <c r="D7" s="121">
        <v>0.07289999999999999</v>
      </c>
    </row>
    <row r="8" spans="1:5" ht="12.75">
      <c r="A8" s="112">
        <f>ROW()</f>
        <v>8</v>
      </c>
      <c r="C8" s="114" t="s">
        <v>109</v>
      </c>
      <c r="D8" s="492">
        <f>D6*D7</f>
        <v>17653739.542590372</v>
      </c>
      <c r="E8" s="114" t="s">
        <v>110</v>
      </c>
    </row>
    <row r="9" spans="1:8" ht="12.75">
      <c r="A9" s="112">
        <f>ROW()</f>
        <v>9</v>
      </c>
      <c r="C9" s="114" t="s">
        <v>111</v>
      </c>
      <c r="D9" s="122">
        <f>D8/(1-0.35)</f>
        <v>27159599.29629288</v>
      </c>
      <c r="E9" s="114" t="s">
        <v>112</v>
      </c>
      <c r="H9" s="123"/>
    </row>
    <row r="10" spans="1:4" ht="12.75">
      <c r="A10" s="112">
        <f>ROW()</f>
        <v>10</v>
      </c>
      <c r="C10" s="114" t="s">
        <v>113</v>
      </c>
      <c r="D10" s="124">
        <f>D113</f>
        <v>65080161.48454035</v>
      </c>
    </row>
    <row r="11" spans="1:5" ht="12.75">
      <c r="A11" s="112">
        <f>ROW()</f>
        <v>11</v>
      </c>
      <c r="C11" s="114" t="s">
        <v>114</v>
      </c>
      <c r="D11" s="492">
        <f>D10+D9</f>
        <v>92239760.78083323</v>
      </c>
      <c r="E11" s="114" t="s">
        <v>115</v>
      </c>
    </row>
    <row r="12" ht="12.75">
      <c r="A12" s="112">
        <f>ROW()</f>
        <v>12</v>
      </c>
    </row>
    <row r="13" spans="1:2" ht="12.75">
      <c r="A13" s="112">
        <f>ROW()</f>
        <v>13</v>
      </c>
      <c r="B13" s="114" t="s">
        <v>116</v>
      </c>
    </row>
    <row r="14" spans="1:9" s="129" customFormat="1" ht="25.5">
      <c r="A14" s="125">
        <f>ROW()</f>
        <v>14</v>
      </c>
      <c r="B14" s="126" t="s">
        <v>117</v>
      </c>
      <c r="C14" s="126" t="s">
        <v>118</v>
      </c>
      <c r="D14" s="127" t="s">
        <v>119</v>
      </c>
      <c r="E14" s="127" t="s">
        <v>120</v>
      </c>
      <c r="F14" s="128" t="s">
        <v>121</v>
      </c>
      <c r="G14" s="128" t="s">
        <v>122</v>
      </c>
      <c r="H14" s="128" t="s">
        <v>123</v>
      </c>
      <c r="I14" s="128" t="s">
        <v>124</v>
      </c>
    </row>
    <row r="15" spans="1:10" s="138" customFormat="1" ht="12.75">
      <c r="A15" s="130">
        <f>ROW()</f>
        <v>15</v>
      </c>
      <c r="B15" s="131"/>
      <c r="C15" s="132" t="s">
        <v>125</v>
      </c>
      <c r="D15" s="133"/>
      <c r="E15" s="133"/>
      <c r="F15" s="134"/>
      <c r="G15" s="135"/>
      <c r="H15" s="134"/>
      <c r="I15" s="136"/>
      <c r="J15" s="137"/>
    </row>
    <row r="16" spans="1:9" s="137" customFormat="1" ht="12.75">
      <c r="A16" s="130">
        <f>ROW()</f>
        <v>16</v>
      </c>
      <c r="B16" s="131" t="s">
        <v>126</v>
      </c>
      <c r="C16" s="132" t="s">
        <v>93</v>
      </c>
      <c r="D16" s="497">
        <v>7355</v>
      </c>
      <c r="E16" s="497">
        <v>7417</v>
      </c>
      <c r="F16" s="498">
        <v>7390065</v>
      </c>
      <c r="G16" s="140">
        <v>0.0174</v>
      </c>
      <c r="H16" s="498">
        <v>128515.62000000001</v>
      </c>
      <c r="I16" s="494">
        <v>-4710418</v>
      </c>
    </row>
    <row r="17" spans="1:9" s="137" customFormat="1" ht="12.75">
      <c r="A17" s="130">
        <f>ROW()</f>
        <v>17</v>
      </c>
      <c r="B17" s="131" t="s">
        <v>127</v>
      </c>
      <c r="C17" s="132" t="s">
        <v>128</v>
      </c>
      <c r="D17" s="139">
        <v>70162</v>
      </c>
      <c r="E17" s="139">
        <v>73551</v>
      </c>
      <c r="F17" s="134">
        <v>71626270</v>
      </c>
      <c r="G17" s="140">
        <v>0.0169</v>
      </c>
      <c r="H17" s="134">
        <v>1214377.0099999998</v>
      </c>
      <c r="I17" s="133">
        <v>-40690146</v>
      </c>
    </row>
    <row r="18" spans="1:9" s="137" customFormat="1" ht="12.75">
      <c r="A18" s="130">
        <f>ROW()</f>
        <v>18</v>
      </c>
      <c r="B18" s="131" t="s">
        <v>129</v>
      </c>
      <c r="C18" s="132" t="s">
        <v>130</v>
      </c>
      <c r="D18" s="139">
        <v>23973</v>
      </c>
      <c r="E18" s="139">
        <v>24407</v>
      </c>
      <c r="F18" s="134">
        <v>24217324</v>
      </c>
      <c r="G18" s="140">
        <v>0.0236</v>
      </c>
      <c r="H18" s="134">
        <v>570890.85</v>
      </c>
      <c r="I18" s="133">
        <v>-11048685</v>
      </c>
    </row>
    <row r="19" spans="1:9" s="137" customFormat="1" ht="12.75">
      <c r="A19" s="130">
        <f>ROW()</f>
        <v>19</v>
      </c>
      <c r="B19" s="131" t="s">
        <v>131</v>
      </c>
      <c r="C19" s="132" t="s">
        <v>132</v>
      </c>
      <c r="D19" s="139">
        <v>5895</v>
      </c>
      <c r="E19" s="139">
        <v>5912</v>
      </c>
      <c r="F19" s="134">
        <v>5906906</v>
      </c>
      <c r="G19" s="140">
        <v>0.0093</v>
      </c>
      <c r="H19" s="134">
        <v>54902.829999999994</v>
      </c>
      <c r="I19" s="133">
        <v>-4405415</v>
      </c>
    </row>
    <row r="20" spans="1:9" s="137" customFormat="1" ht="12.75">
      <c r="A20" s="130">
        <f>ROW()</f>
        <v>20</v>
      </c>
      <c r="B20" s="131" t="s">
        <v>133</v>
      </c>
      <c r="C20" s="132" t="s">
        <v>134</v>
      </c>
      <c r="D20" s="139">
        <v>796</v>
      </c>
      <c r="E20" s="139">
        <v>808</v>
      </c>
      <c r="F20" s="134">
        <v>805101</v>
      </c>
      <c r="G20" s="140">
        <v>0.0231</v>
      </c>
      <c r="H20" s="134">
        <v>18526.430000000004</v>
      </c>
      <c r="I20" s="133">
        <v>-248899</v>
      </c>
    </row>
    <row r="21" spans="1:9" s="137" customFormat="1" ht="12.75">
      <c r="A21" s="130">
        <f>ROW()</f>
        <v>21</v>
      </c>
      <c r="B21" s="131"/>
      <c r="C21" s="132" t="s">
        <v>135</v>
      </c>
      <c r="D21" s="141">
        <f>SUM(D16:D20)</f>
        <v>108181</v>
      </c>
      <c r="E21" s="141">
        <f>SUM(E16:E20)</f>
        <v>112095</v>
      </c>
      <c r="F21" s="141">
        <f>SUM(F16:F20)</f>
        <v>109945666</v>
      </c>
      <c r="G21" s="142">
        <f>ROUND(+H21/F21,4)</f>
        <v>0.0181</v>
      </c>
      <c r="H21" s="143">
        <f>SUM(H16:H20)</f>
        <v>1987212.74</v>
      </c>
      <c r="I21" s="143">
        <f>SUM(I16:I20)</f>
        <v>-61103563</v>
      </c>
    </row>
    <row r="22" spans="1:9" s="137" customFormat="1" ht="12.75">
      <c r="A22" s="130">
        <f>ROW()</f>
        <v>22</v>
      </c>
      <c r="B22" s="131"/>
      <c r="C22" s="132" t="s">
        <v>136</v>
      </c>
      <c r="D22" s="133"/>
      <c r="E22" s="133"/>
      <c r="F22" s="134"/>
      <c r="G22" s="135"/>
      <c r="H22" s="134"/>
      <c r="I22" s="136"/>
    </row>
    <row r="23" spans="1:9" s="137" customFormat="1" ht="12.75">
      <c r="A23" s="130">
        <f>ROW()</f>
        <v>23</v>
      </c>
      <c r="B23" s="131" t="s">
        <v>126</v>
      </c>
      <c r="C23" s="132" t="s">
        <v>93</v>
      </c>
      <c r="D23" s="133">
        <v>2541</v>
      </c>
      <c r="E23" s="133">
        <v>2608</v>
      </c>
      <c r="F23" s="134">
        <v>2579925</v>
      </c>
      <c r="G23" s="140">
        <v>0.0132</v>
      </c>
      <c r="H23" s="134">
        <v>33932.79</v>
      </c>
      <c r="I23" s="133">
        <v>-1002662</v>
      </c>
    </row>
    <row r="24" spans="1:9" s="137" customFormat="1" ht="12.75">
      <c r="A24" s="130">
        <f>ROW()</f>
        <v>24</v>
      </c>
      <c r="B24" s="131" t="s">
        <v>127</v>
      </c>
      <c r="C24" s="132" t="s">
        <v>128</v>
      </c>
      <c r="D24" s="133">
        <v>63084</v>
      </c>
      <c r="E24" s="133">
        <v>65040</v>
      </c>
      <c r="F24" s="134">
        <v>64505013</v>
      </c>
      <c r="G24" s="140">
        <v>0.0178</v>
      </c>
      <c r="H24" s="134">
        <v>1139738.46</v>
      </c>
      <c r="I24" s="133">
        <v>-33864137</v>
      </c>
    </row>
    <row r="25" spans="1:9" s="137" customFormat="1" ht="12.75">
      <c r="A25" s="130">
        <f>ROW()</f>
        <v>25</v>
      </c>
      <c r="B25" s="131" t="s">
        <v>129</v>
      </c>
      <c r="C25" s="132" t="s">
        <v>130</v>
      </c>
      <c r="D25" s="133">
        <v>26787</v>
      </c>
      <c r="E25" s="133">
        <v>28439</v>
      </c>
      <c r="F25" s="134">
        <v>27620914</v>
      </c>
      <c r="G25" s="140">
        <v>0.0229</v>
      </c>
      <c r="H25" s="134">
        <v>629409.8</v>
      </c>
      <c r="I25" s="133">
        <v>-10330632</v>
      </c>
    </row>
    <row r="26" spans="1:9" s="137" customFormat="1" ht="12.75">
      <c r="A26" s="130">
        <f>ROW()</f>
        <v>26</v>
      </c>
      <c r="B26" s="131" t="s">
        <v>131</v>
      </c>
      <c r="C26" s="132" t="s">
        <v>132</v>
      </c>
      <c r="D26" s="133">
        <v>2869</v>
      </c>
      <c r="E26" s="133">
        <v>2886</v>
      </c>
      <c r="F26" s="134">
        <v>2880593</v>
      </c>
      <c r="G26" s="140">
        <v>0.0136</v>
      </c>
      <c r="H26" s="134">
        <v>39130.1</v>
      </c>
      <c r="I26" s="133">
        <v>-1267181</v>
      </c>
    </row>
    <row r="27" spans="1:9" s="137" customFormat="1" ht="12.75">
      <c r="A27" s="130">
        <f>ROW()</f>
        <v>27</v>
      </c>
      <c r="B27" s="131" t="s">
        <v>133</v>
      </c>
      <c r="C27" s="132" t="s">
        <v>134</v>
      </c>
      <c r="D27" s="133">
        <v>918</v>
      </c>
      <c r="E27" s="133">
        <v>930</v>
      </c>
      <c r="F27" s="134">
        <v>927101</v>
      </c>
      <c r="G27" s="140">
        <v>0.0238</v>
      </c>
      <c r="H27" s="134">
        <v>21983.57</v>
      </c>
      <c r="I27" s="133">
        <v>-338064</v>
      </c>
    </row>
    <row r="28" spans="1:9" s="137" customFormat="1" ht="12.75">
      <c r="A28" s="130">
        <f>ROW()</f>
        <v>28</v>
      </c>
      <c r="B28" s="131"/>
      <c r="C28" s="132" t="s">
        <v>135</v>
      </c>
      <c r="D28" s="141">
        <f>SUM(D23:D27)</f>
        <v>96199</v>
      </c>
      <c r="E28" s="141">
        <f>SUM(E23:E27)</f>
        <v>99903</v>
      </c>
      <c r="F28" s="141">
        <f>SUM(F23:F27)</f>
        <v>98513546</v>
      </c>
      <c r="G28" s="142">
        <f>ROUND(+H28/F28,4)</f>
        <v>0.0189</v>
      </c>
      <c r="H28" s="143">
        <f>SUM(H23:H27)</f>
        <v>1864194.7200000002</v>
      </c>
      <c r="I28" s="141">
        <f>SUM(I23:I27)</f>
        <v>-46802676</v>
      </c>
    </row>
    <row r="29" spans="1:9" s="137" customFormat="1" ht="12.75">
      <c r="A29" s="130">
        <f>ROW()</f>
        <v>29</v>
      </c>
      <c r="B29" s="131"/>
      <c r="C29" s="132" t="s">
        <v>137</v>
      </c>
      <c r="D29" s="133"/>
      <c r="E29" s="133"/>
      <c r="F29" s="134"/>
      <c r="G29" s="135"/>
      <c r="H29" s="134"/>
      <c r="I29" s="136"/>
    </row>
    <row r="30" spans="1:9" s="137" customFormat="1" ht="12.75">
      <c r="A30" s="130">
        <f>ROW()</f>
        <v>30</v>
      </c>
      <c r="B30" s="131" t="s">
        <v>126</v>
      </c>
      <c r="C30" s="132" t="s">
        <v>93</v>
      </c>
      <c r="D30" s="133">
        <v>31201</v>
      </c>
      <c r="E30" s="133">
        <v>31201</v>
      </c>
      <c r="F30" s="134">
        <v>31201182</v>
      </c>
      <c r="G30" s="140">
        <v>0.0123</v>
      </c>
      <c r="H30" s="134">
        <v>286761.13</v>
      </c>
      <c r="I30" s="133">
        <v>-25849541</v>
      </c>
    </row>
    <row r="31" spans="1:9" s="137" customFormat="1" ht="12.75">
      <c r="A31" s="130">
        <f>ROW()</f>
        <v>31</v>
      </c>
      <c r="B31" s="131" t="s">
        <v>127</v>
      </c>
      <c r="C31" s="132" t="s">
        <v>128</v>
      </c>
      <c r="D31" s="133">
        <v>6209</v>
      </c>
      <c r="E31" s="133">
        <v>6209</v>
      </c>
      <c r="F31" s="134">
        <v>6209456</v>
      </c>
      <c r="G31" s="140">
        <v>0.0127</v>
      </c>
      <c r="H31" s="134">
        <v>78860.16</v>
      </c>
      <c r="I31" s="133">
        <v>-4859524</v>
      </c>
    </row>
    <row r="32" spans="1:9" s="137" customFormat="1" ht="12.75">
      <c r="A32" s="130">
        <f>ROW()</f>
        <v>32</v>
      </c>
      <c r="B32" s="131" t="s">
        <v>129</v>
      </c>
      <c r="C32" s="132" t="s">
        <v>130</v>
      </c>
      <c r="D32" s="133">
        <v>3821</v>
      </c>
      <c r="E32" s="133">
        <v>3821</v>
      </c>
      <c r="F32" s="134">
        <v>3821272</v>
      </c>
      <c r="G32" s="140">
        <v>0.0124</v>
      </c>
      <c r="H32" s="134">
        <v>47383.68</v>
      </c>
      <c r="I32" s="133">
        <v>-3287547</v>
      </c>
    </row>
    <row r="33" spans="1:9" s="137" customFormat="1" ht="12.75">
      <c r="A33" s="130">
        <f>ROW()</f>
        <v>33</v>
      </c>
      <c r="B33" s="131" t="s">
        <v>131</v>
      </c>
      <c r="C33" s="132" t="s">
        <v>132</v>
      </c>
      <c r="D33" s="133">
        <v>2333</v>
      </c>
      <c r="E33" s="133">
        <v>2333</v>
      </c>
      <c r="F33" s="134">
        <v>2332703</v>
      </c>
      <c r="G33" s="140">
        <v>0.0114</v>
      </c>
      <c r="H33" s="134">
        <v>26592.84</v>
      </c>
      <c r="I33" s="133">
        <v>-1818121</v>
      </c>
    </row>
    <row r="34" spans="1:9" s="137" customFormat="1" ht="12.75">
      <c r="A34" s="130">
        <f>ROW()</f>
        <v>34</v>
      </c>
      <c r="B34" s="131" t="s">
        <v>133</v>
      </c>
      <c r="C34" s="132" t="s">
        <v>134</v>
      </c>
      <c r="D34" s="133">
        <v>6248</v>
      </c>
      <c r="E34" s="133">
        <v>6248</v>
      </c>
      <c r="F34" s="134">
        <v>6248428</v>
      </c>
      <c r="G34" s="140">
        <v>0.014</v>
      </c>
      <c r="H34" s="134">
        <v>87477.96</v>
      </c>
      <c r="I34" s="133">
        <v>-4829577</v>
      </c>
    </row>
    <row r="35" spans="1:9" s="137" customFormat="1" ht="12.75">
      <c r="A35" s="130">
        <f>ROW()</f>
        <v>35</v>
      </c>
      <c r="B35" s="131" t="s">
        <v>138</v>
      </c>
      <c r="C35" s="132" t="s">
        <v>139</v>
      </c>
      <c r="D35" s="133">
        <v>540</v>
      </c>
      <c r="E35" s="133">
        <v>540</v>
      </c>
      <c r="F35" s="134">
        <v>540097</v>
      </c>
      <c r="G35" s="140">
        <v>0</v>
      </c>
      <c r="H35" s="134">
        <v>23022.119999999995</v>
      </c>
      <c r="I35" s="133">
        <v>-480942.62</v>
      </c>
    </row>
    <row r="36" spans="1:9" s="137" customFormat="1" ht="12.75">
      <c r="A36" s="130">
        <f>ROW()</f>
        <v>36</v>
      </c>
      <c r="B36" s="131"/>
      <c r="C36" s="132" t="s">
        <v>135</v>
      </c>
      <c r="D36" s="141">
        <f>SUM(D30:D35)</f>
        <v>50352</v>
      </c>
      <c r="E36" s="141">
        <f>SUM(E30:E35)</f>
        <v>50352</v>
      </c>
      <c r="F36" s="141">
        <f>SUM(F30:F35)</f>
        <v>50353138</v>
      </c>
      <c r="G36" s="142">
        <f>ROUND(+H36/F36,4)</f>
        <v>0.0109</v>
      </c>
      <c r="H36" s="143">
        <f>SUM(H30:H35)</f>
        <v>550097.89</v>
      </c>
      <c r="I36" s="143">
        <f>SUM(I30:I35)</f>
        <v>-41125252.62</v>
      </c>
    </row>
    <row r="37" spans="1:9" s="137" customFormat="1" ht="12.75">
      <c r="A37" s="130">
        <f>ROW()</f>
        <v>37</v>
      </c>
      <c r="B37" s="131"/>
      <c r="C37" s="132" t="s">
        <v>140</v>
      </c>
      <c r="D37" s="133"/>
      <c r="E37" s="133"/>
      <c r="F37" s="134"/>
      <c r="G37" s="135"/>
      <c r="H37" s="134"/>
      <c r="I37" s="136"/>
    </row>
    <row r="38" spans="1:9" s="137" customFormat="1" ht="12.75">
      <c r="A38" s="130">
        <f>ROW()</f>
        <v>38</v>
      </c>
      <c r="B38" s="131" t="s">
        <v>126</v>
      </c>
      <c r="C38" s="132" t="s">
        <v>93</v>
      </c>
      <c r="D38" s="133">
        <v>28527</v>
      </c>
      <c r="E38" s="133">
        <v>28575</v>
      </c>
      <c r="F38" s="134">
        <v>28560518</v>
      </c>
      <c r="G38" s="140">
        <v>0.0133</v>
      </c>
      <c r="H38" s="134">
        <v>379726.87</v>
      </c>
      <c r="I38" s="133">
        <v>-19203195</v>
      </c>
    </row>
    <row r="39" spans="1:9" s="137" customFormat="1" ht="12.75">
      <c r="A39" s="130">
        <f>ROW()</f>
        <v>39</v>
      </c>
      <c r="B39" s="131" t="s">
        <v>127</v>
      </c>
      <c r="C39" s="132" t="s">
        <v>128</v>
      </c>
      <c r="D39" s="133">
        <v>127151</v>
      </c>
      <c r="E39" s="133">
        <v>127916</v>
      </c>
      <c r="F39" s="134">
        <v>127278293</v>
      </c>
      <c r="G39" s="140">
        <v>0.0144</v>
      </c>
      <c r="H39" s="134">
        <v>1836477.7900000003</v>
      </c>
      <c r="I39" s="133">
        <v>-84254011</v>
      </c>
    </row>
    <row r="40" spans="1:9" s="137" customFormat="1" ht="12.75">
      <c r="A40" s="130">
        <f>ROW()</f>
        <v>40</v>
      </c>
      <c r="B40" s="131" t="s">
        <v>129</v>
      </c>
      <c r="C40" s="132" t="s">
        <v>130</v>
      </c>
      <c r="D40" s="133">
        <v>39395</v>
      </c>
      <c r="E40" s="133">
        <v>41704</v>
      </c>
      <c r="F40" s="134">
        <v>40516395</v>
      </c>
      <c r="G40" s="140">
        <v>0.0187</v>
      </c>
      <c r="H40" s="134">
        <v>758279.4199999999</v>
      </c>
      <c r="I40" s="133">
        <v>-18451357</v>
      </c>
    </row>
    <row r="41" spans="1:9" s="137" customFormat="1" ht="12.75">
      <c r="A41" s="130">
        <f>ROW()</f>
        <v>41</v>
      </c>
      <c r="B41" s="131" t="s">
        <v>131</v>
      </c>
      <c r="C41" s="132" t="s">
        <v>132</v>
      </c>
      <c r="D41" s="133">
        <v>6358</v>
      </c>
      <c r="E41" s="133">
        <v>6383</v>
      </c>
      <c r="F41" s="134">
        <v>6369547</v>
      </c>
      <c r="G41" s="140">
        <v>0.0128</v>
      </c>
      <c r="H41" s="134">
        <v>81543.24</v>
      </c>
      <c r="I41" s="133">
        <v>-4018765</v>
      </c>
    </row>
    <row r="42" spans="1:9" s="137" customFormat="1" ht="12.75">
      <c r="A42" s="130">
        <f>ROW()</f>
        <v>42</v>
      </c>
      <c r="B42" s="131" t="s">
        <v>133</v>
      </c>
      <c r="C42" s="132" t="s">
        <v>134</v>
      </c>
      <c r="D42" s="133">
        <v>763</v>
      </c>
      <c r="E42" s="133">
        <v>770</v>
      </c>
      <c r="F42" s="134">
        <v>768745</v>
      </c>
      <c r="G42" s="140">
        <v>0.0201</v>
      </c>
      <c r="H42" s="134">
        <v>15411.959999999995</v>
      </c>
      <c r="I42" s="133">
        <v>-272770</v>
      </c>
    </row>
    <row r="43" spans="1:9" s="137" customFormat="1" ht="12.75">
      <c r="A43" s="130">
        <f>ROW()</f>
        <v>43</v>
      </c>
      <c r="B43" s="131"/>
      <c r="C43" s="132" t="s">
        <v>135</v>
      </c>
      <c r="D43" s="141">
        <f>SUM(D38:D42)</f>
        <v>202194</v>
      </c>
      <c r="E43" s="141">
        <f>SUM(E38:E42)</f>
        <v>205348</v>
      </c>
      <c r="F43" s="141">
        <f>SUM(F38:F42)</f>
        <v>203493498</v>
      </c>
      <c r="G43" s="142">
        <f>ROUND(+H43/F43,4)</f>
        <v>0.0151</v>
      </c>
      <c r="H43" s="143">
        <f>SUM(H38:H42)</f>
        <v>3071439.2800000003</v>
      </c>
      <c r="I43" s="143">
        <f>SUM(I38:I42)</f>
        <v>-126200098</v>
      </c>
    </row>
    <row r="44" spans="1:9" s="137" customFormat="1" ht="12.75">
      <c r="A44" s="130">
        <f>ROW()</f>
        <v>44</v>
      </c>
      <c r="B44" s="131"/>
      <c r="C44" s="132" t="s">
        <v>141</v>
      </c>
      <c r="D44" s="133"/>
      <c r="E44" s="133"/>
      <c r="F44" s="134"/>
      <c r="G44" s="135"/>
      <c r="H44" s="134"/>
      <c r="I44" s="136"/>
    </row>
    <row r="45" spans="1:9" s="137" customFormat="1" ht="12.75">
      <c r="A45" s="130">
        <f>ROW()</f>
        <v>45</v>
      </c>
      <c r="B45" s="131" t="s">
        <v>126</v>
      </c>
      <c r="C45" s="132" t="s">
        <v>93</v>
      </c>
      <c r="D45" s="133">
        <v>26721</v>
      </c>
      <c r="E45" s="133">
        <v>26769</v>
      </c>
      <c r="F45" s="134">
        <v>26754610</v>
      </c>
      <c r="G45" s="140">
        <v>0.0142</v>
      </c>
      <c r="H45" s="134">
        <v>379778.75000000006</v>
      </c>
      <c r="I45" s="133">
        <v>-17040192</v>
      </c>
    </row>
    <row r="46" spans="1:9" s="137" customFormat="1" ht="12.75">
      <c r="A46" s="130">
        <f>ROW()</f>
        <v>46</v>
      </c>
      <c r="B46" s="131" t="s">
        <v>127</v>
      </c>
      <c r="C46" s="132" t="s">
        <v>128</v>
      </c>
      <c r="D46" s="133">
        <v>113239</v>
      </c>
      <c r="E46" s="133">
        <v>114141</v>
      </c>
      <c r="F46" s="134">
        <v>113849136</v>
      </c>
      <c r="G46" s="140">
        <v>0.0164</v>
      </c>
      <c r="H46" s="134">
        <v>1864517.43</v>
      </c>
      <c r="I46" s="133">
        <v>-66673143</v>
      </c>
    </row>
    <row r="47" spans="1:9" s="137" customFormat="1" ht="12.75">
      <c r="A47" s="130">
        <f>ROW()</f>
        <v>47</v>
      </c>
      <c r="B47" s="131" t="s">
        <v>129</v>
      </c>
      <c r="C47" s="132" t="s">
        <v>130</v>
      </c>
      <c r="D47" s="133">
        <v>39588</v>
      </c>
      <c r="E47" s="133">
        <v>40825</v>
      </c>
      <c r="F47" s="134">
        <v>40674578</v>
      </c>
      <c r="G47" s="140">
        <v>0.0192</v>
      </c>
      <c r="H47" s="134">
        <v>771961.89</v>
      </c>
      <c r="I47" s="133">
        <v>-17832098</v>
      </c>
    </row>
    <row r="48" spans="1:9" s="137" customFormat="1" ht="12.75">
      <c r="A48" s="130">
        <f>ROW()</f>
        <v>48</v>
      </c>
      <c r="B48" s="131" t="s">
        <v>131</v>
      </c>
      <c r="C48" s="132" t="s">
        <v>132</v>
      </c>
      <c r="D48" s="133">
        <v>5660</v>
      </c>
      <c r="E48" s="133">
        <v>5660</v>
      </c>
      <c r="F48" s="134">
        <v>5660408</v>
      </c>
      <c r="G48" s="140">
        <v>0.014</v>
      </c>
      <c r="H48" s="134">
        <v>79245.71999999999</v>
      </c>
      <c r="I48" s="133">
        <v>-3324241</v>
      </c>
    </row>
    <row r="49" spans="1:9" s="137" customFormat="1" ht="12.75">
      <c r="A49" s="130">
        <f>ROW()</f>
        <v>49</v>
      </c>
      <c r="B49" s="131" t="s">
        <v>133</v>
      </c>
      <c r="C49" s="132" t="s">
        <v>134</v>
      </c>
      <c r="D49" s="133">
        <v>891</v>
      </c>
      <c r="E49" s="133">
        <v>898</v>
      </c>
      <c r="F49" s="134">
        <v>896213</v>
      </c>
      <c r="G49" s="140">
        <v>0.0193</v>
      </c>
      <c r="H49" s="134">
        <v>17258.690000000002</v>
      </c>
      <c r="I49" s="133">
        <v>-309205</v>
      </c>
    </row>
    <row r="50" spans="1:9" s="137" customFormat="1" ht="12.75">
      <c r="A50" s="130">
        <f>ROW()</f>
        <v>50</v>
      </c>
      <c r="B50" s="131"/>
      <c r="C50" s="132" t="s">
        <v>135</v>
      </c>
      <c r="D50" s="141">
        <f>SUM(D45:D49)</f>
        <v>186099</v>
      </c>
      <c r="E50" s="141">
        <f>SUM(E45:E49)</f>
        <v>188293</v>
      </c>
      <c r="F50" s="141">
        <f>SUM(F45:F49)</f>
        <v>187834945</v>
      </c>
      <c r="G50" s="142">
        <f>ROUND(+H50/F50,4)</f>
        <v>0.0166</v>
      </c>
      <c r="H50" s="143">
        <f>SUM(H45:H49)</f>
        <v>3112762.4800000004</v>
      </c>
      <c r="I50" s="143">
        <f>SUM(I45:I49)</f>
        <v>-105178879</v>
      </c>
    </row>
    <row r="51" spans="1:9" s="137" customFormat="1" ht="12.75">
      <c r="A51" s="130">
        <f>ROW()</f>
        <v>51</v>
      </c>
      <c r="B51" s="131"/>
      <c r="C51" s="132" t="s">
        <v>142</v>
      </c>
      <c r="D51" s="133"/>
      <c r="E51" s="133"/>
      <c r="F51" s="134"/>
      <c r="G51" s="135"/>
      <c r="H51" s="134"/>
      <c r="I51" s="136"/>
    </row>
    <row r="52" spans="1:9" s="137" customFormat="1" ht="12.75">
      <c r="A52" s="130">
        <f>ROW()</f>
        <v>52</v>
      </c>
      <c r="B52" s="131" t="s">
        <v>126</v>
      </c>
      <c r="C52" s="132" t="s">
        <v>93</v>
      </c>
      <c r="D52" s="133">
        <v>70515</v>
      </c>
      <c r="E52" s="133">
        <v>70515</v>
      </c>
      <c r="F52" s="134">
        <v>70514806</v>
      </c>
      <c r="G52" s="140">
        <v>0.0131</v>
      </c>
      <c r="H52" s="134">
        <v>861460.9899999999</v>
      </c>
      <c r="I52" s="133">
        <v>-47724478</v>
      </c>
    </row>
    <row r="53" spans="1:9" s="137" customFormat="1" ht="12.75">
      <c r="A53" s="130">
        <f>ROW()</f>
        <v>53</v>
      </c>
      <c r="B53" s="131" t="s">
        <v>127</v>
      </c>
      <c r="C53" s="132" t="s">
        <v>128</v>
      </c>
      <c r="D53" s="133">
        <v>16957</v>
      </c>
      <c r="E53" s="133">
        <v>16957</v>
      </c>
      <c r="F53" s="134">
        <v>16957167</v>
      </c>
      <c r="G53" s="140">
        <v>0.0149</v>
      </c>
      <c r="H53" s="134">
        <v>252661.79999999996</v>
      </c>
      <c r="I53" s="133">
        <v>-10318676</v>
      </c>
    </row>
    <row r="54" spans="1:9" s="137" customFormat="1" ht="12.75">
      <c r="A54" s="130">
        <f>ROW()</f>
        <v>54</v>
      </c>
      <c r="B54" s="131" t="s">
        <v>129</v>
      </c>
      <c r="C54" s="132" t="s">
        <v>130</v>
      </c>
      <c r="D54" s="133">
        <v>11</v>
      </c>
      <c r="E54" s="133">
        <v>11</v>
      </c>
      <c r="F54" s="134">
        <v>10515</v>
      </c>
      <c r="G54" s="140">
        <v>0.2655</v>
      </c>
      <c r="H54" s="134">
        <v>2791.8000000000006</v>
      </c>
      <c r="I54" s="133">
        <v>106861</v>
      </c>
    </row>
    <row r="55" spans="1:9" s="137" customFormat="1" ht="12.75">
      <c r="A55" s="130">
        <f>ROW()</f>
        <v>55</v>
      </c>
      <c r="B55" s="131" t="s">
        <v>131</v>
      </c>
      <c r="C55" s="132" t="s">
        <v>132</v>
      </c>
      <c r="D55" s="133">
        <v>7645</v>
      </c>
      <c r="E55" s="133">
        <v>7645</v>
      </c>
      <c r="F55" s="134">
        <v>7645315</v>
      </c>
      <c r="G55" s="140">
        <v>0.0128</v>
      </c>
      <c r="H55" s="134">
        <v>97860</v>
      </c>
      <c r="I55" s="133">
        <v>-4782271</v>
      </c>
    </row>
    <row r="56" spans="1:9" s="137" customFormat="1" ht="12.75">
      <c r="A56" s="130">
        <f>ROW()</f>
        <v>56</v>
      </c>
      <c r="B56" s="131" t="s">
        <v>133</v>
      </c>
      <c r="C56" s="132" t="s">
        <v>134</v>
      </c>
      <c r="D56" s="133">
        <v>4503</v>
      </c>
      <c r="E56" s="133">
        <v>4503</v>
      </c>
      <c r="F56" s="134">
        <v>4503330</v>
      </c>
      <c r="G56" s="140">
        <v>0.0163</v>
      </c>
      <c r="H56" s="134">
        <v>73404.24000000002</v>
      </c>
      <c r="I56" s="133">
        <v>-2515969</v>
      </c>
    </row>
    <row r="57" spans="1:9" s="137" customFormat="1" ht="12.75">
      <c r="A57" s="130">
        <f>ROW()</f>
        <v>57</v>
      </c>
      <c r="B57" s="131" t="s">
        <v>138</v>
      </c>
      <c r="C57" s="132" t="s">
        <v>139</v>
      </c>
      <c r="D57" s="133">
        <v>334</v>
      </c>
      <c r="E57" s="133">
        <v>334</v>
      </c>
      <c r="F57" s="134">
        <v>333978</v>
      </c>
      <c r="G57" s="140">
        <v>0</v>
      </c>
      <c r="H57" s="134">
        <v>5013.4800000000005</v>
      </c>
      <c r="I57" s="133">
        <v>-236566.03</v>
      </c>
    </row>
    <row r="58" spans="1:9" s="137" customFormat="1" ht="12.75">
      <c r="A58" s="130">
        <f>ROW()</f>
        <v>58</v>
      </c>
      <c r="B58" s="131"/>
      <c r="C58" s="132" t="s">
        <v>135</v>
      </c>
      <c r="D58" s="141">
        <f>SUM(D52:D57)</f>
        <v>99965</v>
      </c>
      <c r="E58" s="141">
        <f>SUM(E52:E57)</f>
        <v>99965</v>
      </c>
      <c r="F58" s="141">
        <f>SUM(F52:F57)</f>
        <v>99965111</v>
      </c>
      <c r="G58" s="142">
        <f>ROUND(+H58/F58,4)</f>
        <v>0.0129</v>
      </c>
      <c r="H58" s="143">
        <f>SUM(H52:H57)</f>
        <v>1293192.3099999998</v>
      </c>
      <c r="I58" s="143">
        <f>SUM(I52:I57)</f>
        <v>-65471099.03</v>
      </c>
    </row>
    <row r="59" spans="1:9" s="137" customFormat="1" ht="12.75">
      <c r="A59" s="130">
        <f>ROW()</f>
        <v>59</v>
      </c>
      <c r="B59" s="131"/>
      <c r="C59" s="132" t="s">
        <v>143</v>
      </c>
      <c r="D59" s="133"/>
      <c r="E59" s="133"/>
      <c r="F59" s="134"/>
      <c r="G59" s="144"/>
      <c r="H59" s="134"/>
      <c r="I59" s="136"/>
    </row>
    <row r="60" spans="1:9" s="137" customFormat="1" ht="12.75">
      <c r="A60" s="130">
        <f>ROW()</f>
        <v>60</v>
      </c>
      <c r="B60" s="131" t="s">
        <v>133</v>
      </c>
      <c r="C60" s="132" t="s">
        <v>144</v>
      </c>
      <c r="D60" s="133">
        <v>252</v>
      </c>
      <c r="E60" s="133">
        <v>252</v>
      </c>
      <c r="F60" s="134">
        <v>251534</v>
      </c>
      <c r="G60" s="499">
        <v>0.0138</v>
      </c>
      <c r="H60" s="134">
        <v>3471.120000000001</v>
      </c>
      <c r="I60" s="133">
        <v>-173333</v>
      </c>
    </row>
    <row r="61" spans="1:9" s="137" customFormat="1" ht="12.75">
      <c r="A61" s="130">
        <f>ROW()</f>
        <v>61</v>
      </c>
      <c r="B61" s="131"/>
      <c r="C61" s="132" t="s">
        <v>135</v>
      </c>
      <c r="D61" s="495">
        <f>SUM(D60)</f>
        <v>252</v>
      </c>
      <c r="E61" s="495">
        <f>SUM(E60)</f>
        <v>252</v>
      </c>
      <c r="F61" s="495">
        <f>SUM(F60)</f>
        <v>251534</v>
      </c>
      <c r="G61" s="135">
        <f>ROUND(+H61/F61,4)</f>
        <v>0.0138</v>
      </c>
      <c r="H61" s="496">
        <f>SUM(H60:H60)</f>
        <v>3471.120000000001</v>
      </c>
      <c r="I61" s="495">
        <f>SUM(I60)</f>
        <v>-173333</v>
      </c>
    </row>
    <row r="62" spans="1:9" s="137" customFormat="1" ht="12.75">
      <c r="A62" s="130">
        <f>ROW()</f>
        <v>62</v>
      </c>
      <c r="B62" s="131"/>
      <c r="C62" s="132"/>
      <c r="D62" s="133"/>
      <c r="E62" s="133"/>
      <c r="F62" s="133"/>
      <c r="G62" s="135"/>
      <c r="H62" s="134"/>
      <c r="I62" s="133"/>
    </row>
    <row r="63" spans="1:9" s="137" customFormat="1" ht="12.75">
      <c r="A63" s="130">
        <f>ROW()</f>
        <v>63</v>
      </c>
      <c r="B63" s="103" t="s">
        <v>145</v>
      </c>
      <c r="C63" s="132"/>
      <c r="D63" s="494">
        <f>D21+D28+D36+D43+D50+D58+D61</f>
        <v>743242</v>
      </c>
      <c r="E63" s="494">
        <f>E21+E28+E36+E43+E50+E58+E61</f>
        <v>756208</v>
      </c>
      <c r="F63" s="494">
        <f>F21+F28+F36+F43+F50+F58+F61</f>
        <v>750357438</v>
      </c>
      <c r="G63" s="140">
        <f>H63/F63</f>
        <v>0.01583561371987093</v>
      </c>
      <c r="H63" s="494">
        <f>H21+H28+H36+H43+H50+H58+H61</f>
        <v>11882370.54</v>
      </c>
      <c r="I63" s="494">
        <f>I21+I28+I36+I43+I50+I58+I61</f>
        <v>-446054900.65</v>
      </c>
    </row>
    <row r="64" spans="1:9" s="137" customFormat="1" ht="12.75">
      <c r="A64" s="130">
        <f>ROW()</f>
        <v>64</v>
      </c>
      <c r="B64" s="131" t="s">
        <v>146</v>
      </c>
      <c r="C64" s="132"/>
      <c r="D64" s="133"/>
      <c r="E64" s="133"/>
      <c r="F64" s="133">
        <v>-2302671.4662499996</v>
      </c>
      <c r="G64" s="135"/>
      <c r="H64" s="134">
        <v>136274.21000000002</v>
      </c>
      <c r="I64" s="133"/>
    </row>
    <row r="65" spans="1:8" s="137" customFormat="1" ht="12.75">
      <c r="A65" s="130">
        <f>ROW()</f>
        <v>65</v>
      </c>
      <c r="B65" s="132" t="s">
        <v>147</v>
      </c>
      <c r="D65" s="133"/>
      <c r="F65" s="133">
        <v>4947627.849999925</v>
      </c>
      <c r="G65" s="134"/>
      <c r="H65" s="133">
        <v>354668.76000000536</v>
      </c>
    </row>
    <row r="66" spans="1:10" ht="12.75">
      <c r="A66" s="130">
        <f>ROW()</f>
        <v>66</v>
      </c>
      <c r="B66" s="132" t="s">
        <v>148</v>
      </c>
      <c r="C66" s="137"/>
      <c r="D66" s="133"/>
      <c r="E66" s="137"/>
      <c r="F66" s="145">
        <v>1941067</v>
      </c>
      <c r="G66" s="146"/>
      <c r="H66" s="145">
        <v>104311.20599999999</v>
      </c>
      <c r="I66" s="147"/>
      <c r="J66" s="137"/>
    </row>
    <row r="67" spans="1:9" ht="12.75">
      <c r="A67" s="130">
        <f>ROW()</f>
        <v>67</v>
      </c>
      <c r="D67" s="119" t="s">
        <v>149</v>
      </c>
      <c r="F67" s="500">
        <f>SUM(F63:F66)</f>
        <v>754943461.38375</v>
      </c>
      <c r="G67" s="135">
        <f>H67/F67</f>
        <v>0.016527892953903507</v>
      </c>
      <c r="H67" s="500">
        <f>SUM(H63:H66)</f>
        <v>12477624.716000006</v>
      </c>
      <c r="I67" s="501">
        <f>SUM(I63:I66)</f>
        <v>-446054900.65</v>
      </c>
    </row>
    <row r="68" spans="1:9" ht="12.75">
      <c r="A68" s="130"/>
      <c r="I68" s="149"/>
    </row>
    <row r="69" spans="1:9" ht="12.75">
      <c r="A69" s="130"/>
      <c r="I69" s="149"/>
    </row>
    <row r="70" spans="1:9" ht="12.75">
      <c r="A70" s="130"/>
      <c r="I70" s="149"/>
    </row>
    <row r="71" spans="1:9" ht="12.75">
      <c r="A71" s="130"/>
      <c r="I71" s="149"/>
    </row>
    <row r="72" spans="1:9" ht="12.75">
      <c r="A72" s="130"/>
      <c r="I72" s="149"/>
    </row>
    <row r="73" spans="1:9" ht="12.75">
      <c r="A73" s="130"/>
      <c r="I73" s="149"/>
    </row>
    <row r="74" spans="1:6" ht="18">
      <c r="A74" s="130" t="s">
        <v>150</v>
      </c>
      <c r="B74" s="113" t="s">
        <v>103</v>
      </c>
      <c r="D74" s="119"/>
      <c r="F74" s="119"/>
    </row>
    <row r="75" spans="1:4" ht="12.75">
      <c r="A75" s="130">
        <f>ROW()</f>
        <v>75</v>
      </c>
      <c r="D75" s="119"/>
    </row>
    <row r="76" spans="1:6" ht="12.75">
      <c r="A76" s="130">
        <f>ROW()</f>
        <v>76</v>
      </c>
      <c r="D76" s="119"/>
      <c r="F76" s="150"/>
    </row>
    <row r="77" spans="1:9" ht="12.75">
      <c r="A77" s="130">
        <f>ROW()</f>
        <v>77</v>
      </c>
      <c r="D77" s="119"/>
      <c r="F77" s="149"/>
      <c r="I77" s="493"/>
    </row>
    <row r="78" spans="1:6" ht="12.75">
      <c r="A78" s="130">
        <f>ROW()</f>
        <v>78</v>
      </c>
      <c r="D78" s="119"/>
      <c r="F78" s="149"/>
    </row>
    <row r="79" spans="1:6" ht="12.75">
      <c r="A79" s="130">
        <f>ROW()</f>
        <v>79</v>
      </c>
      <c r="B79" s="114" t="s">
        <v>151</v>
      </c>
      <c r="F79" s="149"/>
    </row>
    <row r="80" spans="1:6" ht="12.75">
      <c r="A80" s="130">
        <f>ROW()</f>
        <v>80</v>
      </c>
      <c r="D80" s="151" t="s">
        <v>152</v>
      </c>
      <c r="E80" s="151"/>
      <c r="F80" s="149"/>
    </row>
    <row r="81" spans="1:4" ht="12.75">
      <c r="A81" s="130">
        <f>ROW()</f>
        <v>81</v>
      </c>
      <c r="B81" s="114" t="s">
        <v>153</v>
      </c>
      <c r="C81" s="114" t="s">
        <v>154</v>
      </c>
      <c r="D81" s="152" t="s">
        <v>155</v>
      </c>
    </row>
    <row r="82" spans="1:24" s="96" customFormat="1" ht="12.75">
      <c r="A82" s="130">
        <f>ROW()</f>
        <v>82</v>
      </c>
      <c r="B82" s="153">
        <v>50004011</v>
      </c>
      <c r="C82" s="96" t="s">
        <v>156</v>
      </c>
      <c r="D82" s="154">
        <v>61749.81</v>
      </c>
      <c r="E82" s="155"/>
      <c r="F82" s="156"/>
      <c r="G82" s="114"/>
      <c r="H82" s="108"/>
      <c r="I82" s="107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</row>
    <row r="83" spans="1:24" s="96" customFormat="1" ht="12.75">
      <c r="A83" s="130">
        <f>ROW()</f>
        <v>83</v>
      </c>
      <c r="B83" s="153">
        <v>50005011</v>
      </c>
      <c r="C83" s="96" t="s">
        <v>157</v>
      </c>
      <c r="D83" s="157">
        <v>50554.2</v>
      </c>
      <c r="E83" s="155"/>
      <c r="F83" s="156"/>
      <c r="G83" s="158"/>
      <c r="H83" s="108"/>
      <c r="I83" s="107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</row>
    <row r="84" spans="1:24" s="96" customFormat="1" ht="12.75">
      <c r="A84" s="130">
        <f>ROW()</f>
        <v>84</v>
      </c>
      <c r="B84" s="153">
        <v>50204001</v>
      </c>
      <c r="C84" s="96" t="s">
        <v>158</v>
      </c>
      <c r="D84" s="157">
        <v>4155364.14</v>
      </c>
      <c r="E84" s="155"/>
      <c r="F84" s="156"/>
      <c r="G84" s="158"/>
      <c r="H84" s="108"/>
      <c r="I84" s="107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</row>
    <row r="85" spans="1:24" s="96" customFormat="1" ht="12.75">
      <c r="A85" s="130">
        <f>ROW()</f>
        <v>85</v>
      </c>
      <c r="B85" s="153">
        <v>50205001</v>
      </c>
      <c r="C85" s="96" t="s">
        <v>159</v>
      </c>
      <c r="D85" s="157">
        <v>2502216.05</v>
      </c>
      <c r="E85" s="155"/>
      <c r="F85" s="156"/>
      <c r="G85" s="158"/>
      <c r="H85" s="108"/>
      <c r="I85" s="107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</row>
    <row r="86" spans="1:24" s="96" customFormat="1" ht="12.75">
      <c r="A86" s="130">
        <f>ROW()</f>
        <v>86</v>
      </c>
      <c r="B86" s="153">
        <v>50504001</v>
      </c>
      <c r="C86" s="96" t="s">
        <v>160</v>
      </c>
      <c r="D86" s="157">
        <v>97082</v>
      </c>
      <c r="E86" s="155"/>
      <c r="F86" s="156"/>
      <c r="G86" s="158"/>
      <c r="H86" s="108"/>
      <c r="I86" s="107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</row>
    <row r="87" spans="1:24" s="96" customFormat="1" ht="12.75">
      <c r="A87" s="130">
        <f>ROW()</f>
        <v>87</v>
      </c>
      <c r="B87" s="153">
        <v>50505001</v>
      </c>
      <c r="C87" s="96" t="s">
        <v>161</v>
      </c>
      <c r="D87" s="157">
        <v>87816.18</v>
      </c>
      <c r="E87" s="155"/>
      <c r="F87" s="156"/>
      <c r="G87" s="158"/>
      <c r="H87" s="108"/>
      <c r="I87" s="155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</row>
    <row r="88" spans="1:24" s="96" customFormat="1" ht="12.75">
      <c r="A88" s="130">
        <f>ROW()</f>
        <v>88</v>
      </c>
      <c r="B88" s="153">
        <v>50604001</v>
      </c>
      <c r="C88" s="96" t="s">
        <v>162</v>
      </c>
      <c r="D88" s="157">
        <v>3784561.96</v>
      </c>
      <c r="E88" s="155"/>
      <c r="F88" s="156"/>
      <c r="G88" s="158"/>
      <c r="H88" s="108"/>
      <c r="I88" s="107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</row>
    <row r="89" spans="1:24" s="96" customFormat="1" ht="12.75">
      <c r="A89" s="130">
        <f>ROW()</f>
        <v>89</v>
      </c>
      <c r="B89" s="153">
        <v>50605001</v>
      </c>
      <c r="C89" s="96" t="s">
        <v>163</v>
      </c>
      <c r="D89" s="157">
        <v>3178647.51</v>
      </c>
      <c r="E89" s="155"/>
      <c r="F89" s="156"/>
      <c r="G89" s="158"/>
      <c r="H89" s="108"/>
      <c r="I89" s="107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</row>
    <row r="90" spans="1:24" s="96" customFormat="1" ht="12.75">
      <c r="A90" s="130">
        <f>ROW()</f>
        <v>90</v>
      </c>
      <c r="B90" s="153">
        <v>50704001</v>
      </c>
      <c r="C90" s="96" t="s">
        <v>164</v>
      </c>
      <c r="D90" s="157">
        <v>9047.16</v>
      </c>
      <c r="E90" s="155"/>
      <c r="F90" s="156"/>
      <c r="G90" s="158"/>
      <c r="H90" s="108"/>
      <c r="I90" s="107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</row>
    <row r="91" spans="1:24" s="96" customFormat="1" ht="12.75">
      <c r="A91" s="130">
        <f>ROW()</f>
        <v>91</v>
      </c>
      <c r="B91" s="153">
        <v>50705001</v>
      </c>
      <c r="C91" s="96" t="s">
        <v>165</v>
      </c>
      <c r="D91" s="157">
        <v>32765.92</v>
      </c>
      <c r="E91" s="155"/>
      <c r="F91" s="156"/>
      <c r="G91" s="158"/>
      <c r="H91" s="108"/>
      <c r="I91" s="107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</row>
    <row r="92" spans="1:24" s="96" customFormat="1" ht="12.75">
      <c r="A92" s="130">
        <f>ROW()</f>
        <v>92</v>
      </c>
      <c r="B92" s="153">
        <v>51004001</v>
      </c>
      <c r="C92" s="96" t="s">
        <v>166</v>
      </c>
      <c r="D92" s="157">
        <v>827100.53</v>
      </c>
      <c r="E92" s="155"/>
      <c r="F92" s="156"/>
      <c r="G92" s="158"/>
      <c r="H92" s="108"/>
      <c r="I92" s="107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</row>
    <row r="93" spans="1:24" s="96" customFormat="1" ht="12.75">
      <c r="A93" s="130">
        <f>ROW()</f>
        <v>93</v>
      </c>
      <c r="B93" s="153">
        <v>51005001</v>
      </c>
      <c r="C93" s="96" t="s">
        <v>167</v>
      </c>
      <c r="D93" s="157">
        <v>589309.22</v>
      </c>
      <c r="E93" s="155"/>
      <c r="F93" s="156"/>
      <c r="G93" s="158"/>
      <c r="H93" s="108"/>
      <c r="I93" s="107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</row>
    <row r="94" spans="1:24" s="96" customFormat="1" ht="12.75">
      <c r="A94" s="130">
        <f>ROW()</f>
        <v>94</v>
      </c>
      <c r="B94" s="153">
        <v>51104001</v>
      </c>
      <c r="C94" s="96" t="s">
        <v>168</v>
      </c>
      <c r="D94" s="157">
        <v>1124651.37</v>
      </c>
      <c r="E94" s="155"/>
      <c r="F94" s="156"/>
      <c r="G94" s="158"/>
      <c r="H94" s="108"/>
      <c r="I94" s="107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</row>
    <row r="95" spans="1:24" s="96" customFormat="1" ht="12.75">
      <c r="A95" s="130">
        <f>ROW()</f>
        <v>95</v>
      </c>
      <c r="B95" s="153">
        <v>51105001</v>
      </c>
      <c r="C95" s="96" t="s">
        <v>169</v>
      </c>
      <c r="D95" s="157">
        <v>847752.84</v>
      </c>
      <c r="E95" s="155"/>
      <c r="F95" s="156"/>
      <c r="G95" s="158"/>
      <c r="H95" s="108"/>
      <c r="I95" s="107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</row>
    <row r="96" spans="1:24" s="96" customFormat="1" ht="12.75">
      <c r="A96" s="130">
        <f>ROW()</f>
        <v>96</v>
      </c>
      <c r="B96" s="153">
        <v>51204001</v>
      </c>
      <c r="C96" s="96" t="s">
        <v>170</v>
      </c>
      <c r="D96" s="157">
        <v>5176408.54</v>
      </c>
      <c r="E96" s="155"/>
      <c r="F96" s="156"/>
      <c r="G96" s="158"/>
      <c r="H96" s="108"/>
      <c r="I96" s="107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</row>
    <row r="97" spans="1:24" s="96" customFormat="1" ht="12.75">
      <c r="A97" s="130">
        <f>ROW()</f>
        <v>97</v>
      </c>
      <c r="B97" s="153">
        <v>51205001</v>
      </c>
      <c r="C97" s="96" t="s">
        <v>171</v>
      </c>
      <c r="D97" s="157">
        <v>4412220.69</v>
      </c>
      <c r="E97" s="155"/>
      <c r="F97" s="156"/>
      <c r="G97" s="158"/>
      <c r="H97" s="108"/>
      <c r="I97" s="107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</row>
    <row r="98" spans="1:24" s="96" customFormat="1" ht="12.75">
      <c r="A98" s="130">
        <f>ROW()</f>
        <v>98</v>
      </c>
      <c r="B98" s="153">
        <v>51304001</v>
      </c>
      <c r="C98" s="96" t="s">
        <v>172</v>
      </c>
      <c r="D98" s="157">
        <v>578522.5</v>
      </c>
      <c r="E98" s="155"/>
      <c r="F98" s="156"/>
      <c r="G98" s="158"/>
      <c r="H98" s="108"/>
      <c r="I98" s="107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</row>
    <row r="99" spans="1:24" s="96" customFormat="1" ht="12.75">
      <c r="A99" s="130">
        <f>ROW()</f>
        <v>99</v>
      </c>
      <c r="B99" s="153">
        <v>51305001</v>
      </c>
      <c r="C99" s="96" t="s">
        <v>173</v>
      </c>
      <c r="D99" s="157">
        <v>538075.82</v>
      </c>
      <c r="E99" s="155"/>
      <c r="F99" s="156"/>
      <c r="G99" s="158"/>
      <c r="H99" s="108"/>
      <c r="I99" s="107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</row>
    <row r="100" spans="1:24" s="96" customFormat="1" ht="12.75">
      <c r="A100" s="130">
        <f>ROW()</f>
        <v>100</v>
      </c>
      <c r="B100" s="153">
        <v>51404001</v>
      </c>
      <c r="C100" s="96" t="s">
        <v>174</v>
      </c>
      <c r="D100" s="157">
        <v>1264419.28</v>
      </c>
      <c r="E100" s="155"/>
      <c r="F100" s="156"/>
      <c r="G100" s="158"/>
      <c r="H100" s="108"/>
      <c r="I100" s="107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</row>
    <row r="101" spans="1:24" s="96" customFormat="1" ht="12.75">
      <c r="A101" s="130">
        <f>ROW()</f>
        <v>101</v>
      </c>
      <c r="B101" s="153">
        <v>51405001</v>
      </c>
      <c r="C101" s="96" t="s">
        <v>175</v>
      </c>
      <c r="D101" s="157">
        <v>863749.4</v>
      </c>
      <c r="E101" s="155"/>
      <c r="F101" s="156"/>
      <c r="G101" s="158"/>
      <c r="H101" s="108"/>
      <c r="I101" s="107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</row>
    <row r="102" spans="1:24" s="96" customFormat="1" ht="12.75">
      <c r="A102" s="130">
        <f>ROW()</f>
        <v>102</v>
      </c>
      <c r="B102" s="159">
        <v>50604002</v>
      </c>
      <c r="C102" s="53" t="s">
        <v>176</v>
      </c>
      <c r="D102" s="157">
        <v>400000</v>
      </c>
      <c r="E102" s="155"/>
      <c r="F102" s="156"/>
      <c r="G102" s="158"/>
      <c r="H102" s="108"/>
      <c r="I102" s="107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</row>
    <row r="103" spans="1:24" s="96" customFormat="1" ht="12.75">
      <c r="A103" s="130">
        <f>ROW()</f>
        <v>103</v>
      </c>
      <c r="B103" s="159">
        <v>50604003</v>
      </c>
      <c r="C103" s="53" t="s">
        <v>177</v>
      </c>
      <c r="D103" s="157">
        <v>-3437598</v>
      </c>
      <c r="E103" s="155"/>
      <c r="F103" s="156"/>
      <c r="G103" s="158"/>
      <c r="H103" s="108"/>
      <c r="I103" s="107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</row>
    <row r="104" spans="1:24" s="96" customFormat="1" ht="12.75">
      <c r="A104" s="130">
        <f>ROW()</f>
        <v>104</v>
      </c>
      <c r="B104" s="159">
        <v>50604004</v>
      </c>
      <c r="C104" s="53" t="s">
        <v>178</v>
      </c>
      <c r="D104" s="157">
        <v>785531</v>
      </c>
      <c r="E104" s="155"/>
      <c r="F104" s="156"/>
      <c r="G104" s="158"/>
      <c r="H104" s="108"/>
      <c r="I104" s="107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</row>
    <row r="105" spans="1:24" s="96" customFormat="1" ht="12.75">
      <c r="A105" s="130">
        <f>ROW()</f>
        <v>105</v>
      </c>
      <c r="B105" s="159">
        <v>50605003</v>
      </c>
      <c r="C105" s="53" t="s">
        <v>179</v>
      </c>
      <c r="D105" s="157">
        <v>-1636257</v>
      </c>
      <c r="E105" s="155"/>
      <c r="F105" s="156"/>
      <c r="G105" s="158"/>
      <c r="H105" s="108"/>
      <c r="I105" s="107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</row>
    <row r="106" spans="1:24" s="96" customFormat="1" ht="12.75">
      <c r="A106" s="130">
        <f>ROW()</f>
        <v>106</v>
      </c>
      <c r="B106" s="159">
        <v>50605004</v>
      </c>
      <c r="C106" s="53" t="s">
        <v>180</v>
      </c>
      <c r="D106" s="160">
        <v>1458844</v>
      </c>
      <c r="E106" s="155"/>
      <c r="F106" s="156"/>
      <c r="G106" s="158"/>
      <c r="H106" s="108"/>
      <c r="I106" s="107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</row>
    <row r="107" spans="1:24" s="96" customFormat="1" ht="12.75">
      <c r="A107" s="130">
        <f>ROW()</f>
        <v>107</v>
      </c>
      <c r="B107" s="161"/>
      <c r="C107" s="108" t="s">
        <v>181</v>
      </c>
      <c r="D107" s="158">
        <f>SUM(D82:D106)</f>
        <v>27752535.12</v>
      </c>
      <c r="E107" s="158"/>
      <c r="F107" s="156"/>
      <c r="G107" s="156"/>
      <c r="H107" s="108"/>
      <c r="I107" s="107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</row>
    <row r="108" spans="1:24" s="96" customFormat="1" ht="12.75">
      <c r="A108" s="130">
        <f>ROW()</f>
        <v>108</v>
      </c>
      <c r="B108" s="161"/>
      <c r="C108" s="162" t="s">
        <v>182</v>
      </c>
      <c r="D108" s="158">
        <v>14583010.082640348</v>
      </c>
      <c r="E108" s="158"/>
      <c r="F108" s="156"/>
      <c r="G108" s="156"/>
      <c r="H108" s="108"/>
      <c r="I108" s="107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</row>
    <row r="109" spans="1:5" ht="12.75">
      <c r="A109" s="130">
        <f>ROW()</f>
        <v>109</v>
      </c>
      <c r="B109" s="163"/>
      <c r="C109" s="114" t="s">
        <v>183</v>
      </c>
      <c r="D109" s="164">
        <f>SUM(D107:D108)</f>
        <v>42335545.20264035</v>
      </c>
      <c r="E109" s="119">
        <v>0</v>
      </c>
    </row>
    <row r="110" spans="1:4" ht="12.75">
      <c r="A110" s="130">
        <f>ROW()</f>
        <v>110</v>
      </c>
      <c r="B110" s="163"/>
      <c r="C110" s="165" t="s">
        <v>184</v>
      </c>
      <c r="D110" s="166">
        <v>8570766</v>
      </c>
    </row>
    <row r="111" spans="1:4" ht="12.75">
      <c r="A111" s="130">
        <f>ROW()</f>
        <v>111</v>
      </c>
      <c r="B111" s="163"/>
      <c r="C111" s="165" t="s">
        <v>185</v>
      </c>
      <c r="D111" s="148">
        <v>1696225.5658999998</v>
      </c>
    </row>
    <row r="112" spans="1:4" ht="12.75">
      <c r="A112" s="130">
        <f>ROW()</f>
        <v>112</v>
      </c>
      <c r="B112" s="163" t="s">
        <v>186</v>
      </c>
      <c r="C112" s="114" t="s">
        <v>75</v>
      </c>
      <c r="D112" s="164">
        <f>H67</f>
        <v>12477624.716000006</v>
      </c>
    </row>
    <row r="113" spans="1:4" ht="13.5" thickBot="1">
      <c r="A113" s="130">
        <f>ROW()</f>
        <v>113</v>
      </c>
      <c r="B113" s="163"/>
      <c r="D113" s="167">
        <f>D109+D110+D111+D112</f>
        <v>65080161.48454035</v>
      </c>
    </row>
    <row r="114" ht="13.5" thickTop="1"/>
    <row r="115" ht="12.75">
      <c r="F115" s="149"/>
    </row>
    <row r="116" spans="2:6" ht="18">
      <c r="B116" s="168"/>
      <c r="F116" s="149"/>
    </row>
    <row r="117" ht="12.75">
      <c r="F117" s="149"/>
    </row>
    <row r="118" ht="12.75">
      <c r="F118" s="149"/>
    </row>
    <row r="119" ht="12.75">
      <c r="I119" s="149"/>
    </row>
    <row r="120" ht="12.75">
      <c r="I120" s="149"/>
    </row>
    <row r="121" ht="12.75">
      <c r="I121" s="149"/>
    </row>
    <row r="122" ht="12.75">
      <c r="I122" s="149"/>
    </row>
    <row r="123" ht="12.75">
      <c r="I123" s="149"/>
    </row>
    <row r="124" ht="12.75">
      <c r="I124" s="149"/>
    </row>
    <row r="125" ht="12.75">
      <c r="I125" s="149"/>
    </row>
    <row r="126" ht="12.75">
      <c r="I126" s="149"/>
    </row>
    <row r="127" ht="12.75">
      <c r="I127" s="149"/>
    </row>
    <row r="128" ht="12.75">
      <c r="I128" s="149"/>
    </row>
    <row r="129" ht="12.75">
      <c r="I129" s="149"/>
    </row>
    <row r="130" ht="12.75">
      <c r="I130" s="149"/>
    </row>
    <row r="131" ht="12.75">
      <c r="I131" s="149"/>
    </row>
    <row r="132" ht="12.75">
      <c r="I132" s="149"/>
    </row>
    <row r="133" ht="12.75">
      <c r="I133" s="149"/>
    </row>
    <row r="134" ht="12.75">
      <c r="I134" s="149"/>
    </row>
  </sheetData>
  <sheetProtection/>
  <printOptions horizontalCentered="1"/>
  <pageMargins left="0.25" right="0.25" top="0.66" bottom="1" header="0.4" footer="0.5"/>
  <pageSetup fitToHeight="2" horizontalDpi="600" verticalDpi="600" orientation="portrait" scale="70" r:id="rId2"/>
  <headerFooter alignWithMargins="0">
    <oddHeader>&amp;R&amp;"Arial,Bold"
</oddHeader>
  </headerFooter>
  <rowBreaks count="1" manualBreakCount="1">
    <brk id="7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0"/>
  <sheetViews>
    <sheetView view="pageLayout" workbookViewId="0" topLeftCell="A109">
      <selection activeCell="E65" sqref="E65"/>
    </sheetView>
  </sheetViews>
  <sheetFormatPr defaultColWidth="9.33203125" defaultRowHeight="10.5"/>
  <cols>
    <col min="1" max="1" width="6.83203125" style="170" customWidth="1"/>
    <col min="2" max="2" width="75.16015625" style="170" customWidth="1"/>
    <col min="3" max="3" width="22.66015625" style="170" customWidth="1"/>
    <col min="4" max="4" width="17" style="170" customWidth="1"/>
    <col min="5" max="5" width="21.16015625" style="170" customWidth="1"/>
    <col min="6" max="16384" width="9.33203125" style="171" customWidth="1"/>
  </cols>
  <sheetData>
    <row r="1" spans="1:5" ht="12.75">
      <c r="A1" s="169"/>
      <c r="D1" s="3"/>
      <c r="E1" s="3"/>
    </row>
    <row r="2" spans="1:5" ht="12.75">
      <c r="A2" s="169"/>
      <c r="B2" s="169"/>
      <c r="D2" s="173"/>
      <c r="E2" s="175"/>
    </row>
    <row r="3" spans="1:5" ht="12.75">
      <c r="A3" s="169"/>
      <c r="B3" s="169"/>
      <c r="C3" s="169"/>
      <c r="D3" s="169"/>
      <c r="E3" s="169"/>
    </row>
    <row r="4" spans="1:5" ht="12.75">
      <c r="A4" s="174" t="s">
        <v>187</v>
      </c>
      <c r="B4" s="175"/>
      <c r="C4" s="175"/>
      <c r="D4" s="175"/>
      <c r="E4" s="175"/>
    </row>
    <row r="5" spans="1:5" ht="12.75">
      <c r="A5" s="175" t="s">
        <v>188</v>
      </c>
      <c r="B5" s="175"/>
      <c r="C5" s="175"/>
      <c r="D5" s="175"/>
      <c r="E5" s="176"/>
    </row>
    <row r="6" spans="1:5" ht="12.75">
      <c r="A6" s="175" t="s">
        <v>281</v>
      </c>
      <c r="B6" s="175"/>
      <c r="C6" s="175"/>
      <c r="D6" s="175"/>
      <c r="E6" s="177"/>
    </row>
    <row r="7" spans="1:5" ht="12.75">
      <c r="A7" s="175" t="s">
        <v>189</v>
      </c>
      <c r="B7" s="175"/>
      <c r="C7" s="175"/>
      <c r="D7" s="175"/>
      <c r="E7" s="177"/>
    </row>
    <row r="8" spans="1:5" ht="12.75">
      <c r="A8" s="169"/>
      <c r="C8" s="178"/>
      <c r="D8" s="169"/>
      <c r="E8" s="169"/>
    </row>
    <row r="9" spans="1:5" ht="12.75">
      <c r="A9" s="179" t="s">
        <v>190</v>
      </c>
      <c r="B9" s="169"/>
      <c r="C9" s="180" t="s">
        <v>191</v>
      </c>
      <c r="D9" s="180" t="s">
        <v>192</v>
      </c>
      <c r="E9" s="180" t="s">
        <v>193</v>
      </c>
    </row>
    <row r="10" spans="1:5" ht="12.75">
      <c r="A10" s="181" t="s">
        <v>194</v>
      </c>
      <c r="B10" s="182" t="s">
        <v>118</v>
      </c>
      <c r="C10" s="181" t="s">
        <v>195</v>
      </c>
      <c r="D10" s="183">
        <v>0.02099</v>
      </c>
      <c r="E10" s="184">
        <v>0.35</v>
      </c>
    </row>
    <row r="11" ht="12.75">
      <c r="D11" s="185"/>
    </row>
    <row r="12" spans="1:5" ht="12.75">
      <c r="A12" s="178">
        <v>1</v>
      </c>
      <c r="B12" s="186" t="s">
        <v>196</v>
      </c>
      <c r="D12" s="185"/>
      <c r="E12" s="187"/>
    </row>
    <row r="13" spans="1:5" ht="12.75">
      <c r="A13" s="178">
        <f aca="true" t="shared" si="0" ref="A13:A44">A12+1</f>
        <v>2</v>
      </c>
      <c r="B13" s="188" t="s">
        <v>197</v>
      </c>
      <c r="C13" s="189"/>
      <c r="D13" s="189"/>
      <c r="E13" s="189"/>
    </row>
    <row r="14" spans="1:5" ht="12.75">
      <c r="A14" s="178">
        <f t="shared" si="0"/>
        <v>3</v>
      </c>
      <c r="B14" s="188" t="s">
        <v>198</v>
      </c>
      <c r="C14" s="190">
        <v>79814.05095969615</v>
      </c>
      <c r="D14" s="190">
        <v>-1675.2969296440224</v>
      </c>
      <c r="E14" s="190">
        <v>586</v>
      </c>
    </row>
    <row r="15" spans="1:5" ht="12.75">
      <c r="A15" s="178">
        <f t="shared" si="0"/>
        <v>4</v>
      </c>
      <c r="B15" s="188" t="s">
        <v>199</v>
      </c>
      <c r="C15" s="191">
        <v>498117.354159779</v>
      </c>
      <c r="D15" s="191">
        <v>-10455.483263813761</v>
      </c>
      <c r="E15" s="191">
        <v>3659</v>
      </c>
    </row>
    <row r="16" spans="1:5" ht="12.75">
      <c r="A16" s="178">
        <f t="shared" si="0"/>
        <v>5</v>
      </c>
      <c r="B16" s="170" t="s">
        <v>200</v>
      </c>
      <c r="C16" s="192">
        <v>577931.4051194751</v>
      </c>
      <c r="D16" s="192">
        <v>-12130.780193457784</v>
      </c>
      <c r="E16" s="192">
        <v>4245</v>
      </c>
    </row>
    <row r="17" spans="1:5" ht="12.75">
      <c r="A17" s="178">
        <f t="shared" si="0"/>
        <v>6</v>
      </c>
      <c r="C17" s="192"/>
      <c r="D17" s="192"/>
      <c r="E17" s="192"/>
    </row>
    <row r="18" spans="1:5" ht="12.75">
      <c r="A18" s="178">
        <f t="shared" si="0"/>
        <v>7</v>
      </c>
      <c r="B18" s="170" t="s">
        <v>201</v>
      </c>
      <c r="C18" s="193"/>
      <c r="D18" s="193"/>
      <c r="E18" s="193"/>
    </row>
    <row r="19" spans="1:5" ht="12.75">
      <c r="A19" s="178">
        <f t="shared" si="0"/>
        <v>8</v>
      </c>
      <c r="B19" s="188" t="s">
        <v>202</v>
      </c>
      <c r="C19" s="193">
        <v>5050729.984971766</v>
      </c>
      <c r="D19" s="193">
        <v>-106014.82238455738</v>
      </c>
      <c r="E19" s="193">
        <v>37105</v>
      </c>
    </row>
    <row r="20" spans="1:5" ht="12.75">
      <c r="A20" s="178">
        <f t="shared" si="0"/>
        <v>9</v>
      </c>
      <c r="B20" s="188" t="s">
        <v>203</v>
      </c>
      <c r="C20" s="194">
        <v>2835322</v>
      </c>
      <c r="D20" s="194">
        <v>-59513.408780000005</v>
      </c>
      <c r="E20" s="194">
        <v>20830</v>
      </c>
    </row>
    <row r="21" spans="1:5" ht="12.75">
      <c r="A21" s="178">
        <f t="shared" si="0"/>
        <v>10</v>
      </c>
      <c r="B21" s="188" t="s">
        <v>204</v>
      </c>
      <c r="C21" s="192">
        <v>7886051.984971766</v>
      </c>
      <c r="D21" s="192">
        <v>-165528.2311645574</v>
      </c>
      <c r="E21" s="192">
        <v>57935</v>
      </c>
    </row>
    <row r="22" spans="1:5" ht="12.75">
      <c r="A22" s="178">
        <f t="shared" si="0"/>
        <v>11</v>
      </c>
      <c r="B22" s="188"/>
      <c r="C22" s="192"/>
      <c r="D22" s="192"/>
      <c r="E22" s="192"/>
    </row>
    <row r="23" spans="1:2" ht="12.75">
      <c r="A23" s="178">
        <f t="shared" si="0"/>
        <v>12</v>
      </c>
      <c r="B23" s="188" t="s">
        <v>205</v>
      </c>
    </row>
    <row r="24" spans="1:5" ht="12.75">
      <c r="A24" s="178">
        <f t="shared" si="0"/>
        <v>13</v>
      </c>
      <c r="B24" s="188" t="s">
        <v>206</v>
      </c>
      <c r="C24" s="193">
        <v>95848018.89280927</v>
      </c>
      <c r="D24" s="193">
        <v>-2011849.9165600669</v>
      </c>
      <c r="E24" s="193">
        <v>820843.2903994054</v>
      </c>
    </row>
    <row r="25" spans="1:5" ht="12.75">
      <c r="A25" s="178">
        <f t="shared" si="0"/>
        <v>14</v>
      </c>
      <c r="B25" s="188" t="s">
        <v>207</v>
      </c>
      <c r="C25" s="191">
        <v>11264042.39</v>
      </c>
      <c r="D25" s="191">
        <v>-236432.24976610002</v>
      </c>
      <c r="E25" s="191">
        <v>80107.1490876692</v>
      </c>
    </row>
    <row r="26" spans="1:5" ht="12.75">
      <c r="A26" s="178">
        <f t="shared" si="0"/>
        <v>15</v>
      </c>
      <c r="B26" s="188" t="s">
        <v>208</v>
      </c>
      <c r="C26" s="192">
        <v>107112061.28280927</v>
      </c>
      <c r="D26" s="192">
        <v>-2248282.166326167</v>
      </c>
      <c r="E26" s="192">
        <v>900950.4394870746</v>
      </c>
    </row>
    <row r="27" spans="1:5" ht="12.75">
      <c r="A27" s="178">
        <f t="shared" si="0"/>
        <v>16</v>
      </c>
      <c r="C27" s="192"/>
      <c r="D27" s="192"/>
      <c r="E27" s="192"/>
    </row>
    <row r="28" spans="1:5" ht="12.75">
      <c r="A28" s="178">
        <f t="shared" si="0"/>
        <v>17</v>
      </c>
      <c r="B28" s="188" t="s">
        <v>209</v>
      </c>
      <c r="C28" s="193"/>
      <c r="D28" s="193"/>
      <c r="E28" s="193"/>
    </row>
    <row r="29" spans="1:5" ht="12.75">
      <c r="A29" s="178">
        <f t="shared" si="0"/>
        <v>18</v>
      </c>
      <c r="B29" s="188" t="s">
        <v>210</v>
      </c>
      <c r="C29" s="191">
        <v>7396041</v>
      </c>
      <c r="D29" s="191">
        <v>-155242.90059</v>
      </c>
      <c r="E29" s="191">
        <v>54335</v>
      </c>
    </row>
    <row r="30" spans="1:5" ht="12.75">
      <c r="A30" s="178">
        <f t="shared" si="0"/>
        <v>19</v>
      </c>
      <c r="B30" s="188" t="s">
        <v>211</v>
      </c>
      <c r="C30" s="191">
        <v>7977272</v>
      </c>
      <c r="D30" s="191">
        <v>-167442.93928000002</v>
      </c>
      <c r="E30" s="191">
        <v>58605</v>
      </c>
    </row>
    <row r="31" spans="1:5" ht="12.75">
      <c r="A31" s="178">
        <f t="shared" si="0"/>
        <v>20</v>
      </c>
      <c r="B31" s="188" t="s">
        <v>212</v>
      </c>
      <c r="C31" s="191">
        <v>1696225.5658999998</v>
      </c>
      <c r="D31" s="191">
        <v>-35603.774628241</v>
      </c>
      <c r="E31" s="191">
        <v>12461</v>
      </c>
    </row>
    <row r="32" spans="1:5" ht="12.75">
      <c r="A32" s="178">
        <f t="shared" si="0"/>
        <v>21</v>
      </c>
      <c r="B32" s="188" t="s">
        <v>213</v>
      </c>
      <c r="C32" s="191">
        <v>2036377.1431809925</v>
      </c>
      <c r="D32" s="191">
        <v>-42743.55623536903</v>
      </c>
      <c r="E32" s="191">
        <v>14960</v>
      </c>
    </row>
    <row r="33" spans="1:5" ht="12.75">
      <c r="A33" s="178">
        <f t="shared" si="0"/>
        <v>22</v>
      </c>
      <c r="B33" s="188" t="s">
        <v>214</v>
      </c>
      <c r="C33" s="192">
        <v>19105915.70908099</v>
      </c>
      <c r="D33" s="192">
        <v>-401033.17073361005</v>
      </c>
      <c r="E33" s="192">
        <v>140361</v>
      </c>
    </row>
    <row r="34" spans="1:5" ht="12.75">
      <c r="A34" s="178">
        <f t="shared" si="0"/>
        <v>23</v>
      </c>
      <c r="B34" s="188"/>
      <c r="C34" s="192"/>
      <c r="D34" s="192"/>
      <c r="E34" s="192"/>
    </row>
    <row r="35" spans="1:5" ht="12.75">
      <c r="A35" s="178">
        <f t="shared" si="0"/>
        <v>24</v>
      </c>
      <c r="B35" s="195" t="s">
        <v>215</v>
      </c>
      <c r="C35" s="193"/>
      <c r="D35" s="193"/>
      <c r="E35" s="193"/>
    </row>
    <row r="36" spans="1:5" ht="12.75">
      <c r="A36" s="178">
        <f t="shared" si="0"/>
        <v>25</v>
      </c>
      <c r="B36" s="188"/>
      <c r="C36" s="193"/>
      <c r="D36" s="191"/>
      <c r="E36" s="191"/>
    </row>
    <row r="37" spans="1:5" ht="12.75">
      <c r="A37" s="178">
        <f t="shared" si="0"/>
        <v>26</v>
      </c>
      <c r="B37" s="188" t="s">
        <v>198</v>
      </c>
      <c r="C37" s="193">
        <v>776099</v>
      </c>
      <c r="D37" s="191">
        <v>-16290.31801</v>
      </c>
      <c r="E37" s="191">
        <v>5702</v>
      </c>
    </row>
    <row r="38" spans="1:5" ht="12.75">
      <c r="A38" s="178">
        <f t="shared" si="0"/>
        <v>27</v>
      </c>
      <c r="B38" s="188" t="s">
        <v>216</v>
      </c>
      <c r="C38" s="193">
        <v>9922939</v>
      </c>
      <c r="D38" s="191">
        <v>-208282.48961000002</v>
      </c>
      <c r="E38" s="191">
        <v>72899</v>
      </c>
    </row>
    <row r="39" spans="1:5" ht="12.75">
      <c r="A39" s="178">
        <f t="shared" si="0"/>
        <v>28</v>
      </c>
      <c r="B39" s="188" t="s">
        <v>217</v>
      </c>
      <c r="C39" s="193">
        <v>0</v>
      </c>
      <c r="D39" s="191">
        <v>0</v>
      </c>
      <c r="E39" s="191">
        <v>0</v>
      </c>
    </row>
    <row r="40" spans="1:5" ht="12.75">
      <c r="A40" s="178">
        <f t="shared" si="0"/>
        <v>29</v>
      </c>
      <c r="B40" s="188" t="s">
        <v>218</v>
      </c>
      <c r="C40" s="193">
        <v>10891023</v>
      </c>
      <c r="D40" s="193">
        <v>-228602.57277000003</v>
      </c>
      <c r="E40" s="193">
        <v>80011</v>
      </c>
    </row>
    <row r="41" spans="1:5" ht="12.75">
      <c r="A41" s="178">
        <f t="shared" si="0"/>
        <v>30</v>
      </c>
      <c r="B41" s="188" t="s">
        <v>203</v>
      </c>
      <c r="C41" s="193">
        <v>517500.681183602</v>
      </c>
      <c r="D41" s="193">
        <v>-10862.339298043808</v>
      </c>
      <c r="E41" s="193">
        <v>3802</v>
      </c>
    </row>
    <row r="42" spans="1:5" ht="12.75">
      <c r="A42" s="178">
        <f t="shared" si="0"/>
        <v>31</v>
      </c>
      <c r="B42" s="188" t="s">
        <v>219</v>
      </c>
      <c r="C42" s="193">
        <v>2967100.906250939</v>
      </c>
      <c r="D42" s="193">
        <v>-62279.44802220721</v>
      </c>
      <c r="E42" s="193">
        <v>21798</v>
      </c>
    </row>
    <row r="43" spans="1:5" ht="12.75">
      <c r="A43" s="178">
        <f t="shared" si="0"/>
        <v>32</v>
      </c>
      <c r="B43" s="188" t="s">
        <v>220</v>
      </c>
      <c r="C43" s="196">
        <v>25074662.58743454</v>
      </c>
      <c r="D43" s="196">
        <v>-526317.1677102511</v>
      </c>
      <c r="E43" s="196">
        <v>184212</v>
      </c>
    </row>
    <row r="44" spans="1:5" ht="12.75">
      <c r="A44" s="178">
        <f t="shared" si="0"/>
        <v>33</v>
      </c>
      <c r="B44" s="188"/>
      <c r="C44" s="193"/>
      <c r="D44" s="193"/>
      <c r="E44" s="193"/>
    </row>
    <row r="45" spans="1:5" ht="12.75">
      <c r="A45" s="178">
        <f aca="true" t="shared" si="1" ref="A45:A67">A44+1</f>
        <v>34</v>
      </c>
      <c r="B45" s="186" t="s">
        <v>221</v>
      </c>
      <c r="C45" s="193"/>
      <c r="D45" s="193"/>
      <c r="E45" s="193"/>
    </row>
    <row r="46" spans="1:5" ht="12.75">
      <c r="A46" s="178">
        <f t="shared" si="1"/>
        <v>35</v>
      </c>
      <c r="B46" s="78" t="s">
        <v>59</v>
      </c>
      <c r="C46" s="197">
        <v>3526620</v>
      </c>
      <c r="D46" s="191">
        <v>-74023.7538</v>
      </c>
      <c r="E46" s="191">
        <v>25908</v>
      </c>
    </row>
    <row r="47" spans="1:5" ht="12.75">
      <c r="A47" s="178">
        <f t="shared" si="1"/>
        <v>36</v>
      </c>
      <c r="B47" s="78" t="s">
        <v>60</v>
      </c>
      <c r="C47" s="197">
        <v>1494701.7220710255</v>
      </c>
      <c r="D47" s="191">
        <v>-31373.78914627083</v>
      </c>
      <c r="E47" s="191">
        <v>10981</v>
      </c>
    </row>
    <row r="48" spans="1:5" ht="12.75">
      <c r="A48" s="178">
        <f t="shared" si="1"/>
        <v>37</v>
      </c>
      <c r="B48" s="78" t="s">
        <v>61</v>
      </c>
      <c r="C48" s="197">
        <v>0</v>
      </c>
      <c r="D48" s="191">
        <v>0</v>
      </c>
      <c r="E48" s="191">
        <v>0</v>
      </c>
    </row>
    <row r="49" spans="1:5" ht="12.75">
      <c r="A49" s="178">
        <f t="shared" si="1"/>
        <v>38</v>
      </c>
      <c r="B49" s="78" t="s">
        <v>62</v>
      </c>
      <c r="C49" s="197">
        <v>0</v>
      </c>
      <c r="D49" s="191">
        <v>0</v>
      </c>
      <c r="E49" s="191">
        <v>0</v>
      </c>
    </row>
    <row r="50" spans="1:5" ht="12.75">
      <c r="A50" s="178">
        <f t="shared" si="1"/>
        <v>39</v>
      </c>
      <c r="B50" s="78" t="s">
        <v>63</v>
      </c>
      <c r="C50" s="197">
        <v>0</v>
      </c>
      <c r="D50" s="191">
        <v>0</v>
      </c>
      <c r="E50" s="191">
        <v>0</v>
      </c>
    </row>
    <row r="51" spans="1:5" ht="12.75">
      <c r="A51" s="178">
        <f t="shared" si="1"/>
        <v>40</v>
      </c>
      <c r="B51" s="78" t="s">
        <v>64</v>
      </c>
      <c r="C51" s="197">
        <v>0</v>
      </c>
      <c r="D51" s="191">
        <v>0</v>
      </c>
      <c r="E51" s="191">
        <v>0</v>
      </c>
    </row>
    <row r="52" spans="1:5" ht="12.75">
      <c r="A52" s="178">
        <f t="shared" si="1"/>
        <v>41</v>
      </c>
      <c r="B52" s="78" t="s">
        <v>222</v>
      </c>
      <c r="C52" s="197">
        <v>-392169.6666666667</v>
      </c>
      <c r="D52" s="191">
        <v>8231.641303333334</v>
      </c>
      <c r="E52" s="191">
        <v>-2881</v>
      </c>
    </row>
    <row r="53" spans="1:5" ht="12.75">
      <c r="A53" s="178">
        <f t="shared" si="1"/>
        <v>42</v>
      </c>
      <c r="B53" s="78" t="s">
        <v>223</v>
      </c>
      <c r="C53" s="197">
        <v>-537626.2135922329</v>
      </c>
      <c r="D53" s="191">
        <v>11284.77422330097</v>
      </c>
      <c r="E53" s="191">
        <v>-3950</v>
      </c>
    </row>
    <row r="54" spans="1:5" ht="12.75">
      <c r="A54" s="178">
        <f t="shared" si="1"/>
        <v>43</v>
      </c>
      <c r="B54" s="78" t="s">
        <v>65</v>
      </c>
      <c r="C54" s="197">
        <v>2872181.8354855985</v>
      </c>
      <c r="D54" s="191">
        <v>-60287.09672684272</v>
      </c>
      <c r="E54" s="191">
        <v>21100</v>
      </c>
    </row>
    <row r="55" spans="1:5" ht="12.75">
      <c r="A55" s="178">
        <f t="shared" si="1"/>
        <v>44</v>
      </c>
      <c r="B55" s="78" t="s">
        <v>66</v>
      </c>
      <c r="C55" s="197">
        <v>0</v>
      </c>
      <c r="D55" s="191">
        <v>0</v>
      </c>
      <c r="E55" s="191">
        <v>0</v>
      </c>
    </row>
    <row r="56" spans="1:5" ht="12.75">
      <c r="A56" s="178">
        <f t="shared" si="1"/>
        <v>45</v>
      </c>
      <c r="B56" s="78" t="s">
        <v>224</v>
      </c>
      <c r="C56" s="197">
        <v>555555.5555555556</v>
      </c>
      <c r="D56" s="191">
        <v>-11661.111111111113</v>
      </c>
      <c r="E56" s="191">
        <v>4081</v>
      </c>
    </row>
    <row r="57" spans="1:5" ht="12.75">
      <c r="A57" s="178">
        <f t="shared" si="1"/>
        <v>46</v>
      </c>
      <c r="B57" s="78" t="s">
        <v>225</v>
      </c>
      <c r="C57" s="197">
        <v>265155</v>
      </c>
      <c r="D57" s="191">
        <v>-5565.6034500000005</v>
      </c>
      <c r="E57" s="191">
        <v>1948</v>
      </c>
    </row>
    <row r="58" spans="1:5" ht="12.75">
      <c r="A58" s="178">
        <f t="shared" si="1"/>
        <v>47</v>
      </c>
      <c r="B58" s="78" t="s">
        <v>226</v>
      </c>
      <c r="C58" s="197">
        <v>1215107.3786816266</v>
      </c>
      <c r="D58" s="191">
        <v>-25505.103878527345</v>
      </c>
      <c r="E58" s="191">
        <v>8927</v>
      </c>
    </row>
    <row r="59" spans="1:5" ht="12.75">
      <c r="A59" s="178">
        <f t="shared" si="1"/>
        <v>48</v>
      </c>
      <c r="B59" s="78" t="s">
        <v>67</v>
      </c>
      <c r="C59" s="197">
        <v>680129.0439538461</v>
      </c>
      <c r="D59" s="191">
        <v>-14275.90863259123</v>
      </c>
      <c r="E59" s="191">
        <v>4997</v>
      </c>
    </row>
    <row r="60" spans="1:5" ht="12.75">
      <c r="A60" s="178">
        <f t="shared" si="1"/>
        <v>49</v>
      </c>
      <c r="B60" s="78" t="s">
        <v>227</v>
      </c>
      <c r="C60" s="197">
        <v>7088065.589499994</v>
      </c>
      <c r="D60" s="191">
        <v>-148778.49672360488</v>
      </c>
      <c r="E60" s="191">
        <v>52072</v>
      </c>
    </row>
    <row r="61" spans="1:5" ht="12.75">
      <c r="A61" s="178">
        <f t="shared" si="1"/>
        <v>50</v>
      </c>
      <c r="B61" s="78"/>
      <c r="C61" s="197"/>
      <c r="D61" s="191"/>
      <c r="E61" s="191"/>
    </row>
    <row r="62" spans="1:5" ht="12.75">
      <c r="A62" s="178">
        <f t="shared" si="1"/>
        <v>51</v>
      </c>
      <c r="B62" s="170" t="s">
        <v>228</v>
      </c>
      <c r="C62" s="198">
        <v>16767720.244988747</v>
      </c>
      <c r="D62" s="198">
        <v>-351954.44794231385</v>
      </c>
      <c r="E62" s="198">
        <v>123183</v>
      </c>
    </row>
    <row r="63" spans="1:5" ht="12.75">
      <c r="A63" s="178">
        <f t="shared" si="1"/>
        <v>52</v>
      </c>
      <c r="B63" s="199"/>
      <c r="C63" s="199"/>
      <c r="D63" s="199"/>
      <c r="E63" s="199"/>
    </row>
    <row r="64" spans="1:5" ht="12.75">
      <c r="A64" s="178">
        <f t="shared" si="1"/>
        <v>53</v>
      </c>
      <c r="C64" s="200"/>
      <c r="D64" s="200"/>
      <c r="E64" s="201"/>
    </row>
    <row r="65" spans="1:5" ht="12.75">
      <c r="A65" s="178">
        <f t="shared" si="1"/>
        <v>54</v>
      </c>
      <c r="B65" s="188" t="s">
        <v>229</v>
      </c>
      <c r="C65" s="193"/>
      <c r="D65" s="193">
        <v>176524343.21440476</v>
      </c>
      <c r="E65" s="222">
        <v>-3705245.9640703574</v>
      </c>
    </row>
    <row r="66" spans="1:5" ht="12.75">
      <c r="A66" s="178">
        <f t="shared" si="1"/>
        <v>55</v>
      </c>
      <c r="B66" s="188" t="s">
        <v>230</v>
      </c>
      <c r="C66" s="191"/>
      <c r="E66" s="191">
        <v>1410886.4394870745</v>
      </c>
    </row>
    <row r="67" spans="1:5" ht="13.5" thickBot="1">
      <c r="A67" s="178">
        <f t="shared" si="1"/>
        <v>56</v>
      </c>
      <c r="B67" s="188" t="s">
        <v>231</v>
      </c>
      <c r="C67" s="191"/>
      <c r="D67" s="191"/>
      <c r="E67" s="202">
        <v>2294359.524583283</v>
      </c>
    </row>
    <row r="68" spans="1:4" ht="13.5" thickTop="1">
      <c r="A68" s="178"/>
      <c r="C68" s="191"/>
      <c r="D68" s="191"/>
    </row>
    <row r="69" spans="1:5" ht="12.75">
      <c r="A69" s="169"/>
      <c r="B69" s="169"/>
      <c r="C69" s="169"/>
      <c r="D69" s="169"/>
      <c r="E69" s="169"/>
    </row>
    <row r="70" spans="1:5" ht="12.75">
      <c r="A70" s="174" t="s">
        <v>187</v>
      </c>
      <c r="B70" s="175"/>
      <c r="C70" s="175"/>
      <c r="D70" s="175"/>
      <c r="E70" s="175"/>
    </row>
    <row r="71" spans="1:5" ht="12.75">
      <c r="A71" s="175" t="s">
        <v>188</v>
      </c>
      <c r="B71" s="175"/>
      <c r="C71" s="175"/>
      <c r="D71" s="175"/>
      <c r="E71" s="176"/>
    </row>
    <row r="72" spans="1:5" ht="12.75">
      <c r="A72" s="175" t="s">
        <v>281</v>
      </c>
      <c r="B72" s="175"/>
      <c r="C72" s="175"/>
      <c r="D72" s="175"/>
      <c r="E72" s="177"/>
    </row>
    <row r="73" spans="1:5" ht="12.75">
      <c r="A73" s="175" t="s">
        <v>189</v>
      </c>
      <c r="B73" s="175"/>
      <c r="C73" s="175"/>
      <c r="D73" s="175"/>
      <c r="E73" s="177"/>
    </row>
    <row r="74" spans="1:5" ht="12.75">
      <c r="A74" s="169"/>
      <c r="C74" s="178"/>
      <c r="D74" s="169"/>
      <c r="E74" s="169"/>
    </row>
    <row r="75" spans="1:5" ht="12.75">
      <c r="A75" s="179" t="s">
        <v>190</v>
      </c>
      <c r="B75" s="169"/>
      <c r="C75" s="180" t="s">
        <v>191</v>
      </c>
      <c r="D75" s="180" t="s">
        <v>192</v>
      </c>
      <c r="E75" s="180" t="s">
        <v>193</v>
      </c>
    </row>
    <row r="76" spans="1:5" ht="12.75">
      <c r="A76" s="181" t="s">
        <v>194</v>
      </c>
      <c r="B76" s="182" t="s">
        <v>118</v>
      </c>
      <c r="C76" s="181" t="s">
        <v>195</v>
      </c>
      <c r="D76" s="183">
        <f>D10</f>
        <v>0.02099</v>
      </c>
      <c r="E76" s="184">
        <v>0.35</v>
      </c>
    </row>
    <row r="77" ht="12.75">
      <c r="D77" s="185"/>
    </row>
    <row r="78" spans="1:5" ht="12.75">
      <c r="A78" s="178">
        <f>A67+1</f>
        <v>57</v>
      </c>
      <c r="B78" s="186" t="s">
        <v>232</v>
      </c>
      <c r="C78" s="191"/>
      <c r="D78" s="191"/>
      <c r="E78" s="191"/>
    </row>
    <row r="79" spans="1:5" ht="12.75">
      <c r="A79" s="178">
        <f aca="true" t="shared" si="2" ref="A79:A105">A78+1</f>
        <v>58</v>
      </c>
      <c r="B79" s="188" t="s">
        <v>233</v>
      </c>
      <c r="C79" s="203">
        <v>3310587583.4459467</v>
      </c>
      <c r="D79" s="190">
        <v>-69489233</v>
      </c>
      <c r="E79" s="191"/>
    </row>
    <row r="80" spans="1:4" ht="12.75">
      <c r="A80" s="178">
        <f t="shared" si="2"/>
        <v>59</v>
      </c>
      <c r="B80" s="188" t="s">
        <v>234</v>
      </c>
      <c r="C80" s="204">
        <v>-1190080368.0506847</v>
      </c>
      <c r="D80" s="193">
        <v>24979787</v>
      </c>
    </row>
    <row r="81" spans="1:4" ht="12.75">
      <c r="A81" s="178">
        <f t="shared" si="2"/>
        <v>60</v>
      </c>
      <c r="B81" s="188" t="s">
        <v>235</v>
      </c>
      <c r="C81" s="204">
        <v>77287156</v>
      </c>
      <c r="D81" s="193">
        <v>-1622257</v>
      </c>
    </row>
    <row r="82" spans="1:4" ht="12.75">
      <c r="A82" s="178">
        <f t="shared" si="2"/>
        <v>61</v>
      </c>
      <c r="B82" s="188" t="s">
        <v>236</v>
      </c>
      <c r="C82" s="204">
        <v>-4080190</v>
      </c>
      <c r="D82" s="193">
        <v>85643</v>
      </c>
    </row>
    <row r="83" spans="1:5" ht="12.75">
      <c r="A83" s="178">
        <f t="shared" si="2"/>
        <v>62</v>
      </c>
      <c r="B83" s="188" t="s">
        <v>237</v>
      </c>
      <c r="C83" s="205">
        <v>4947628</v>
      </c>
      <c r="D83" s="191">
        <v>-103851</v>
      </c>
      <c r="E83" s="191"/>
    </row>
    <row r="84" spans="1:5" ht="12.75">
      <c r="A84" s="178">
        <f t="shared" si="2"/>
        <v>63</v>
      </c>
      <c r="B84" s="188" t="s">
        <v>238</v>
      </c>
      <c r="C84" s="205">
        <v>1458712</v>
      </c>
      <c r="D84" s="191">
        <v>-30618</v>
      </c>
      <c r="E84" s="191"/>
    </row>
    <row r="85" spans="1:5" ht="12.75">
      <c r="A85" s="178">
        <f t="shared" si="2"/>
        <v>64</v>
      </c>
      <c r="B85" s="188" t="s">
        <v>239</v>
      </c>
      <c r="C85" s="205">
        <v>250524822.2320833</v>
      </c>
      <c r="D85" s="193">
        <v>-5258516</v>
      </c>
      <c r="E85" s="193"/>
    </row>
    <row r="86" spans="1:5" ht="12.75">
      <c r="A86" s="178">
        <f t="shared" si="2"/>
        <v>65</v>
      </c>
      <c r="B86" s="188" t="s">
        <v>240</v>
      </c>
      <c r="C86" s="205">
        <v>-54306612</v>
      </c>
      <c r="D86" s="193">
        <v>1139896</v>
      </c>
      <c r="E86" s="193"/>
    </row>
    <row r="87" spans="1:5" ht="12.75">
      <c r="A87" s="178">
        <f t="shared" si="2"/>
        <v>66</v>
      </c>
      <c r="B87" s="170" t="s">
        <v>241</v>
      </c>
      <c r="C87" s="206">
        <v>2396338731.627345</v>
      </c>
      <c r="D87" s="206">
        <v>-50299149</v>
      </c>
      <c r="E87" s="193"/>
    </row>
    <row r="88" spans="1:5" ht="12.75">
      <c r="A88" s="178">
        <f t="shared" si="2"/>
        <v>67</v>
      </c>
      <c r="C88" s="204"/>
      <c r="D88" s="207"/>
      <c r="E88" s="193"/>
    </row>
    <row r="89" spans="1:5" ht="12.75">
      <c r="A89" s="178">
        <f t="shared" si="2"/>
        <v>68</v>
      </c>
      <c r="B89" s="188" t="s">
        <v>242</v>
      </c>
      <c r="C89" s="205">
        <v>-315759925.0738541</v>
      </c>
      <c r="D89" s="191">
        <v>6627801</v>
      </c>
      <c r="E89" s="193"/>
    </row>
    <row r="90" spans="1:5" ht="12.75">
      <c r="A90" s="178">
        <f t="shared" si="2"/>
        <v>69</v>
      </c>
      <c r="B90" s="188" t="s">
        <v>243</v>
      </c>
      <c r="C90" s="205">
        <v>15034874</v>
      </c>
      <c r="D90" s="191">
        <v>-315582</v>
      </c>
      <c r="E90" s="193"/>
    </row>
    <row r="91" spans="1:5" ht="12.75">
      <c r="A91" s="178">
        <f t="shared" si="2"/>
        <v>70</v>
      </c>
      <c r="B91" s="188" t="s">
        <v>244</v>
      </c>
      <c r="C91" s="192">
        <v>-300725051.0738541</v>
      </c>
      <c r="D91" s="192">
        <v>6312219</v>
      </c>
      <c r="E91" s="193"/>
    </row>
    <row r="92" spans="1:5" ht="12.75">
      <c r="A92" s="178">
        <f t="shared" si="2"/>
        <v>71</v>
      </c>
      <c r="B92" s="188"/>
      <c r="C92" s="206">
        <v>0</v>
      </c>
      <c r="D92" s="192">
        <v>0</v>
      </c>
      <c r="E92" s="193"/>
    </row>
    <row r="93" spans="1:5" ht="13.5" thickBot="1">
      <c r="A93" s="178">
        <f t="shared" si="2"/>
        <v>72</v>
      </c>
      <c r="B93" s="188" t="s">
        <v>245</v>
      </c>
      <c r="C93" s="208">
        <v>2095613680.553491</v>
      </c>
      <c r="D93" s="208">
        <v>-43986930</v>
      </c>
      <c r="E93" s="208">
        <v>2051626750.553491</v>
      </c>
    </row>
    <row r="94" spans="1:5" ht="13.5" thickTop="1">
      <c r="A94" s="178">
        <f t="shared" si="2"/>
        <v>73</v>
      </c>
      <c r="C94" s="192"/>
      <c r="D94" s="209"/>
      <c r="E94" s="193"/>
    </row>
    <row r="95" spans="1:5" ht="12.75">
      <c r="A95" s="178">
        <f t="shared" si="2"/>
        <v>74</v>
      </c>
      <c r="B95" s="186" t="s">
        <v>246</v>
      </c>
      <c r="C95" s="193"/>
      <c r="D95" s="193"/>
      <c r="E95" s="193"/>
    </row>
    <row r="96" spans="1:5" ht="12.75">
      <c r="A96" s="178">
        <f t="shared" si="2"/>
        <v>75</v>
      </c>
      <c r="B96" s="188" t="s">
        <v>247</v>
      </c>
      <c r="C96" s="191">
        <v>11214773.00999999</v>
      </c>
      <c r="D96" s="191">
        <v>-235398</v>
      </c>
      <c r="E96" s="191"/>
    </row>
    <row r="97" spans="1:5" ht="12.75">
      <c r="A97" s="178">
        <f t="shared" si="2"/>
        <v>76</v>
      </c>
      <c r="B97" s="188" t="s">
        <v>248</v>
      </c>
      <c r="C97" s="191">
        <v>34565277.37337757</v>
      </c>
      <c r="D97" s="191">
        <v>-725525</v>
      </c>
      <c r="E97" s="191"/>
    </row>
    <row r="98" spans="1:5" ht="12.75">
      <c r="A98" s="178">
        <f t="shared" si="2"/>
        <v>77</v>
      </c>
      <c r="B98" s="188" t="s">
        <v>61</v>
      </c>
      <c r="C98" s="191">
        <v>24941806.74</v>
      </c>
      <c r="D98" s="191">
        <v>-523529</v>
      </c>
      <c r="E98" s="191"/>
    </row>
    <row r="99" spans="1:5" ht="12.75">
      <c r="A99" s="178">
        <f t="shared" si="2"/>
        <v>78</v>
      </c>
      <c r="B99" s="78" t="s">
        <v>249</v>
      </c>
      <c r="C99" s="191">
        <v>-29911730</v>
      </c>
      <c r="D99" s="191">
        <v>627847</v>
      </c>
      <c r="E99" s="191"/>
    </row>
    <row r="100" spans="1:5" ht="12.75">
      <c r="A100" s="178">
        <f t="shared" si="2"/>
        <v>79</v>
      </c>
      <c r="B100" s="188" t="s">
        <v>250</v>
      </c>
      <c r="C100" s="191">
        <v>-10331527.550000008</v>
      </c>
      <c r="D100" s="191">
        <v>216859</v>
      </c>
      <c r="E100" s="191"/>
    </row>
    <row r="101" spans="1:5" ht="12.75">
      <c r="A101" s="178">
        <f t="shared" si="2"/>
        <v>80</v>
      </c>
      <c r="B101" s="78" t="s">
        <v>251</v>
      </c>
      <c r="C101" s="191">
        <v>-1529461.682666667</v>
      </c>
      <c r="D101" s="191">
        <v>32103</v>
      </c>
      <c r="E101" s="191"/>
    </row>
    <row r="102" spans="1:5" ht="12.75">
      <c r="A102" s="178">
        <f t="shared" si="2"/>
        <v>81</v>
      </c>
      <c r="B102" s="78" t="s">
        <v>252</v>
      </c>
      <c r="C102" s="191">
        <v>-2096742.2330097083</v>
      </c>
      <c r="D102" s="191">
        <v>44011</v>
      </c>
      <c r="E102" s="191"/>
    </row>
    <row r="103" spans="1:5" ht="12.75">
      <c r="A103" s="178">
        <f t="shared" si="2"/>
        <v>82</v>
      </c>
      <c r="B103" s="170" t="s">
        <v>253</v>
      </c>
      <c r="C103" s="191">
        <v>23180900.644329056</v>
      </c>
      <c r="D103" s="191">
        <v>-486567</v>
      </c>
      <c r="E103" s="191"/>
    </row>
    <row r="104" spans="1:5" ht="12.75">
      <c r="A104" s="178">
        <f t="shared" si="2"/>
        <v>83</v>
      </c>
      <c r="B104" s="78" t="s">
        <v>254</v>
      </c>
      <c r="C104" s="191">
        <v>3981481.4814814813</v>
      </c>
      <c r="D104" s="191">
        <v>-83571</v>
      </c>
      <c r="E104" s="191"/>
    </row>
    <row r="105" spans="1:5" ht="12.75">
      <c r="A105" s="178">
        <f t="shared" si="2"/>
        <v>84</v>
      </c>
      <c r="B105" s="78" t="s">
        <v>255</v>
      </c>
      <c r="C105" s="191">
        <v>1193197.5</v>
      </c>
      <c r="D105" s="191">
        <v>-25045</v>
      </c>
      <c r="E105" s="191"/>
    </row>
    <row r="106" spans="1:5" ht="12.75">
      <c r="A106" s="178">
        <f>A103+1</f>
        <v>83</v>
      </c>
      <c r="B106" s="78" t="s">
        <v>256</v>
      </c>
      <c r="C106" s="191">
        <v>99707854</v>
      </c>
      <c r="D106" s="191">
        <v>-2092868</v>
      </c>
      <c r="E106" s="191"/>
    </row>
    <row r="107" spans="1:5" ht="12.75">
      <c r="A107" s="178">
        <f aca="true" t="shared" si="3" ref="A107:A113">A106+1</f>
        <v>84</v>
      </c>
      <c r="B107" s="78" t="s">
        <v>257</v>
      </c>
      <c r="C107" s="191">
        <v>10831055.024964996</v>
      </c>
      <c r="D107" s="191">
        <v>-227344</v>
      </c>
      <c r="E107" s="191"/>
    </row>
    <row r="108" spans="1:5" ht="12.75">
      <c r="A108" s="178">
        <f t="shared" si="3"/>
        <v>85</v>
      </c>
      <c r="B108" s="78" t="s">
        <v>258</v>
      </c>
      <c r="C108" s="191">
        <v>117130302.1673249</v>
      </c>
      <c r="D108" s="191">
        <v>-2458565</v>
      </c>
      <c r="E108" s="191"/>
    </row>
    <row r="109" spans="1:5" ht="12.75">
      <c r="A109" s="178">
        <f t="shared" si="3"/>
        <v>86</v>
      </c>
      <c r="B109" s="78" t="s">
        <v>259</v>
      </c>
      <c r="C109" s="197">
        <v>18500000</v>
      </c>
      <c r="D109" s="191">
        <v>-388315</v>
      </c>
      <c r="E109" s="191"/>
    </row>
    <row r="110" spans="1:5" ht="12.75">
      <c r="A110" s="178">
        <f t="shared" si="3"/>
        <v>87</v>
      </c>
      <c r="B110" s="78" t="s">
        <v>260</v>
      </c>
      <c r="C110" s="197">
        <v>1627204.6270833334</v>
      </c>
      <c r="D110" s="191">
        <v>-34155</v>
      </c>
      <c r="E110" s="191"/>
    </row>
    <row r="111" spans="1:5" ht="12.75">
      <c r="A111" s="178">
        <f t="shared" si="3"/>
        <v>88</v>
      </c>
      <c r="B111" s="170" t="s">
        <v>261</v>
      </c>
      <c r="C111" s="210">
        <v>303004391.10288495</v>
      </c>
      <c r="D111" s="210">
        <v>-6360062</v>
      </c>
      <c r="E111" s="210">
        <v>296644329.10288495</v>
      </c>
    </row>
    <row r="112" spans="1:5" ht="12.75">
      <c r="A112" s="178">
        <f t="shared" si="3"/>
        <v>89</v>
      </c>
      <c r="C112" s="193"/>
      <c r="D112" s="211"/>
      <c r="E112" s="193"/>
    </row>
    <row r="113" spans="1:5" ht="13.5" thickBot="1">
      <c r="A113" s="178">
        <f t="shared" si="3"/>
        <v>90</v>
      </c>
      <c r="B113" s="170" t="s">
        <v>262</v>
      </c>
      <c r="C113" s="212"/>
      <c r="D113" s="208">
        <v>-50346992</v>
      </c>
      <c r="E113" s="212"/>
    </row>
    <row r="114" spans="4:5" ht="14.25" thickTop="1">
      <c r="D114" s="213"/>
      <c r="E114" s="213"/>
    </row>
    <row r="115" spans="2:5" ht="13.5">
      <c r="B115" s="77"/>
      <c r="D115" s="213"/>
      <c r="E115" s="213"/>
    </row>
    <row r="116" spans="4:5" ht="13.5">
      <c r="D116" s="213"/>
      <c r="E116" s="213"/>
    </row>
    <row r="117" spans="4:5" ht="13.5">
      <c r="D117" s="213"/>
      <c r="E117" s="213"/>
    </row>
    <row r="118" spans="4:5" ht="13.5">
      <c r="D118" s="213"/>
      <c r="E118" s="213"/>
    </row>
    <row r="119" spans="4:5" ht="13.5">
      <c r="D119" s="213"/>
      <c r="E119" s="213"/>
    </row>
    <row r="120" spans="4:5" ht="13.5">
      <c r="D120" s="213"/>
      <c r="E120" s="213"/>
    </row>
    <row r="121" spans="4:5" ht="13.5">
      <c r="D121" s="213"/>
      <c r="E121" s="213"/>
    </row>
    <row r="122" spans="4:5" ht="13.5">
      <c r="D122" s="213"/>
      <c r="E122" s="213"/>
    </row>
    <row r="123" spans="4:5" ht="13.5">
      <c r="D123" s="213"/>
      <c r="E123" s="213"/>
    </row>
    <row r="124" spans="4:5" ht="13.5">
      <c r="D124" s="213"/>
      <c r="E124" s="213"/>
    </row>
    <row r="125" spans="4:5" ht="13.5">
      <c r="D125" s="213"/>
      <c r="E125" s="213"/>
    </row>
    <row r="126" spans="4:5" ht="13.5">
      <c r="D126" s="213"/>
      <c r="E126" s="213"/>
    </row>
    <row r="127" spans="4:5" ht="13.5">
      <c r="D127" s="213"/>
      <c r="E127" s="213"/>
    </row>
    <row r="128" spans="4:5" ht="13.5">
      <c r="D128" s="213"/>
      <c r="E128" s="213"/>
    </row>
    <row r="129" spans="4:5" ht="13.5">
      <c r="D129" s="213"/>
      <c r="E129" s="213"/>
    </row>
    <row r="130" spans="4:5" ht="13.5">
      <c r="D130" s="213"/>
      <c r="E130" s="213"/>
    </row>
  </sheetData>
  <sheetProtection/>
  <printOptions horizontalCentered="1"/>
  <pageMargins left="0.75" right="0.5" top="0.78" bottom="0.83" header="0.25" footer="0.18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view="pageLayout" workbookViewId="0" topLeftCell="A7">
      <selection activeCell="B18" sqref="B18"/>
    </sheetView>
  </sheetViews>
  <sheetFormatPr defaultColWidth="9.33203125" defaultRowHeight="10.5"/>
  <cols>
    <col min="1" max="1" width="5.83203125" style="170" customWidth="1"/>
    <col min="2" max="2" width="72.16015625" style="170" customWidth="1"/>
    <col min="3" max="5" width="19.83203125" style="170" customWidth="1"/>
    <col min="6" max="16384" width="9.33203125" style="171" customWidth="1"/>
  </cols>
  <sheetData>
    <row r="1" spans="1:5" ht="12.75">
      <c r="A1" s="169"/>
      <c r="D1" s="3"/>
      <c r="E1" s="487"/>
    </row>
    <row r="2" spans="1:5" ht="12.75">
      <c r="A2" s="172"/>
      <c r="D2" s="3"/>
      <c r="E2" s="487"/>
    </row>
    <row r="3" spans="1:5" ht="12.75">
      <c r="A3" s="172"/>
      <c r="B3" s="169"/>
      <c r="C3" s="169"/>
      <c r="D3" s="169"/>
      <c r="E3" s="487"/>
    </row>
    <row r="4" spans="1:5" ht="12.75">
      <c r="A4" s="169"/>
      <c r="B4" s="214"/>
      <c r="C4" s="215"/>
      <c r="D4" s="215"/>
      <c r="E4" s="488"/>
    </row>
    <row r="5" spans="1:5" ht="12.75">
      <c r="A5" s="169"/>
      <c r="B5" s="169"/>
      <c r="C5" s="169"/>
      <c r="D5" s="169"/>
      <c r="E5" s="488"/>
    </row>
    <row r="6" spans="1:5" ht="12.75">
      <c r="A6" s="174" t="s">
        <v>187</v>
      </c>
      <c r="B6" s="175"/>
      <c r="C6" s="175"/>
      <c r="D6" s="174"/>
      <c r="E6" s="175"/>
    </row>
    <row r="7" spans="1:5" ht="12.75">
      <c r="A7" s="174" t="s">
        <v>263</v>
      </c>
      <c r="B7" s="175"/>
      <c r="C7" s="174"/>
      <c r="D7" s="175"/>
      <c r="E7" s="175"/>
    </row>
    <row r="8" spans="1:5" ht="12.75">
      <c r="A8" s="175" t="s">
        <v>281</v>
      </c>
      <c r="B8" s="175"/>
      <c r="C8" s="174"/>
      <c r="D8" s="175"/>
      <c r="E8" s="175"/>
    </row>
    <row r="9" spans="1:5" ht="12.75">
      <c r="A9" s="174" t="s">
        <v>189</v>
      </c>
      <c r="B9" s="175"/>
      <c r="C9" s="174"/>
      <c r="D9" s="174"/>
      <c r="E9" s="174"/>
    </row>
    <row r="10" spans="1:5" ht="12.75">
      <c r="A10" s="169"/>
      <c r="B10" s="169"/>
      <c r="C10" s="169"/>
      <c r="D10" s="216"/>
      <c r="E10" s="169"/>
    </row>
    <row r="11" spans="1:5" ht="12.75">
      <c r="A11" s="180" t="s">
        <v>190</v>
      </c>
      <c r="B11" s="217"/>
      <c r="C11" s="218"/>
      <c r="D11" s="179"/>
      <c r="E11" s="179" t="s">
        <v>264</v>
      </c>
    </row>
    <row r="12" spans="1:5" ht="12.75">
      <c r="A12" s="181" t="s">
        <v>194</v>
      </c>
      <c r="B12" s="182" t="s">
        <v>118</v>
      </c>
      <c r="C12" s="219" t="s">
        <v>265</v>
      </c>
      <c r="D12" s="219" t="s">
        <v>191</v>
      </c>
      <c r="E12" s="219" t="s">
        <v>266</v>
      </c>
    </row>
    <row r="13" spans="1:5" ht="12.75">
      <c r="A13" s="220"/>
      <c r="B13" s="221"/>
      <c r="C13" s="221"/>
      <c r="D13" s="221"/>
      <c r="E13" s="221"/>
    </row>
    <row r="14" spans="1:5" ht="12.75">
      <c r="A14" s="178">
        <v>1</v>
      </c>
      <c r="B14" s="170" t="s">
        <v>217</v>
      </c>
      <c r="C14" s="222">
        <v>201262557</v>
      </c>
      <c r="D14" s="222">
        <v>7074814.2405572375</v>
      </c>
      <c r="E14" s="222">
        <f>D14-C14</f>
        <v>-194187742.75944278</v>
      </c>
    </row>
    <row r="15" spans="1:5" ht="12.75">
      <c r="A15" s="178">
        <f aca="true" t="shared" si="0" ref="A15:A41">A14+1</f>
        <v>2</v>
      </c>
      <c r="C15" s="206"/>
      <c r="D15" s="206"/>
      <c r="E15" s="206"/>
    </row>
    <row r="16" spans="1:5" ht="12.75">
      <c r="A16" s="178">
        <f t="shared" si="0"/>
        <v>3</v>
      </c>
      <c r="B16" s="170" t="s">
        <v>267</v>
      </c>
      <c r="C16" s="204">
        <v>-36748461.42</v>
      </c>
      <c r="D16" s="204">
        <v>0</v>
      </c>
      <c r="E16" s="204">
        <f>D16-C16</f>
        <v>36748461.42</v>
      </c>
    </row>
    <row r="17" spans="1:5" ht="12.75">
      <c r="A17" s="178">
        <f t="shared" si="0"/>
        <v>4</v>
      </c>
      <c r="B17" s="170" t="s">
        <v>268</v>
      </c>
      <c r="C17" s="223">
        <v>10703022.63</v>
      </c>
      <c r="D17" s="223">
        <v>11378097.936059868</v>
      </c>
      <c r="E17" s="223">
        <f>D17-C17</f>
        <v>675075.3060598671</v>
      </c>
    </row>
    <row r="18" spans="1:5" ht="12.75">
      <c r="A18" s="178">
        <f t="shared" si="0"/>
        <v>5</v>
      </c>
      <c r="C18" s="204">
        <f>SUM(C16:C17)</f>
        <v>-26045438.79</v>
      </c>
      <c r="D18" s="204">
        <f>SUM(D16:D17)</f>
        <v>11378097.936059868</v>
      </c>
      <c r="E18" s="204">
        <f>SUM(E16:E17)</f>
        <v>37423536.72605987</v>
      </c>
    </row>
    <row r="19" spans="1:5" ht="12.75">
      <c r="A19" s="178">
        <f t="shared" si="0"/>
        <v>6</v>
      </c>
      <c r="C19" s="206"/>
      <c r="D19" s="206"/>
      <c r="E19" s="206"/>
    </row>
    <row r="20" spans="1:5" ht="12.75">
      <c r="A20" s="178">
        <f t="shared" si="0"/>
        <v>7</v>
      </c>
      <c r="B20" s="224" t="s">
        <v>269</v>
      </c>
      <c r="C20" s="191">
        <f>SUM(C14:C17)</f>
        <v>175217118.20999998</v>
      </c>
      <c r="D20" s="191">
        <f>SUM(D14:D17)</f>
        <v>18452912.176617105</v>
      </c>
      <c r="E20" s="191">
        <f>SUM(E14:E17)</f>
        <v>-156764206.03338292</v>
      </c>
    </row>
    <row r="21" spans="1:5" ht="12.75">
      <c r="A21" s="178">
        <f t="shared" si="0"/>
        <v>8</v>
      </c>
      <c r="C21" s="225"/>
      <c r="D21" s="225"/>
      <c r="E21" s="225"/>
    </row>
    <row r="22" spans="1:5" ht="12.75">
      <c r="A22" s="178">
        <f t="shared" si="0"/>
        <v>9</v>
      </c>
      <c r="B22" s="226" t="s">
        <v>270</v>
      </c>
      <c r="C22" s="227">
        <v>269007822.1246386</v>
      </c>
      <c r="D22" s="227">
        <v>245941338.30070215</v>
      </c>
      <c r="E22" s="227">
        <f>D22-C22</f>
        <v>-23066483.823936462</v>
      </c>
    </row>
    <row r="23" spans="1:5" ht="12.75">
      <c r="A23" s="178">
        <f t="shared" si="0"/>
        <v>10</v>
      </c>
      <c r="B23" s="226"/>
      <c r="C23" s="228"/>
      <c r="D23" s="228"/>
      <c r="E23" s="228"/>
    </row>
    <row r="24" spans="1:5" ht="12.75">
      <c r="A24" s="178">
        <f t="shared" si="0"/>
        <v>11</v>
      </c>
      <c r="B24" s="226" t="s">
        <v>271</v>
      </c>
      <c r="C24" s="204">
        <v>792862060.0733334</v>
      </c>
      <c r="D24" s="229">
        <v>487666594.3074653</v>
      </c>
      <c r="E24" s="230">
        <f>D24-C24</f>
        <v>-305195465.76586807</v>
      </c>
    </row>
    <row r="25" spans="1:5" ht="12.75">
      <c r="A25" s="178">
        <f t="shared" si="0"/>
        <v>12</v>
      </c>
      <c r="B25" s="226" t="s">
        <v>272</v>
      </c>
      <c r="C25" s="204">
        <v>0</v>
      </c>
      <c r="D25" s="229">
        <v>1420907.408017</v>
      </c>
      <c r="E25" s="230">
        <f>D25-C25</f>
        <v>1420907.408017</v>
      </c>
    </row>
    <row r="26" spans="1:5" ht="12.75">
      <c r="A26" s="178">
        <f t="shared" si="0"/>
        <v>13</v>
      </c>
      <c r="B26" s="226"/>
      <c r="C26" s="223">
        <v>0</v>
      </c>
      <c r="D26" s="223">
        <v>0</v>
      </c>
      <c r="E26" s="223">
        <f>D26-C26</f>
        <v>0</v>
      </c>
    </row>
    <row r="27" spans="1:5" ht="12.75">
      <c r="A27" s="178">
        <f t="shared" si="0"/>
        <v>14</v>
      </c>
      <c r="B27" s="226" t="s">
        <v>273</v>
      </c>
      <c r="C27" s="190">
        <f>SUM(C24:C26)</f>
        <v>792862060.0733334</v>
      </c>
      <c r="D27" s="190">
        <f>SUM(D24:D26)</f>
        <v>489087501.7154823</v>
      </c>
      <c r="E27" s="190">
        <f>SUM(E24:E26)</f>
        <v>-303774558.3578511</v>
      </c>
    </row>
    <row r="28" spans="1:5" ht="12.75">
      <c r="A28" s="178">
        <f t="shared" si="0"/>
        <v>15</v>
      </c>
      <c r="B28" s="226" t="s">
        <v>216</v>
      </c>
      <c r="C28" s="204">
        <v>76487810.82999991</v>
      </c>
      <c r="D28" s="204">
        <v>87974703.479011</v>
      </c>
      <c r="E28" s="204">
        <f>D28-C28</f>
        <v>11486892.64901109</v>
      </c>
    </row>
    <row r="29" spans="1:5" ht="12.75">
      <c r="A29" s="178">
        <f t="shared" si="0"/>
        <v>16</v>
      </c>
      <c r="B29" s="226"/>
      <c r="C29" s="204"/>
      <c r="D29" s="204"/>
      <c r="E29" s="204"/>
    </row>
    <row r="30" spans="1:5" ht="12.75">
      <c r="A30" s="178">
        <f t="shared" si="0"/>
        <v>17</v>
      </c>
      <c r="B30" s="170" t="s">
        <v>274</v>
      </c>
      <c r="C30" s="231">
        <f>C22+C27+C28</f>
        <v>1138357693.027972</v>
      </c>
      <c r="D30" s="231">
        <f>D22+D27+D28</f>
        <v>823003543.4951954</v>
      </c>
      <c r="E30" s="231">
        <f>E22+E27+E28</f>
        <v>-315354149.5327765</v>
      </c>
    </row>
    <row r="31" spans="1:5" ht="12.75">
      <c r="A31" s="178">
        <f t="shared" si="0"/>
        <v>18</v>
      </c>
      <c r="B31" s="232" t="s">
        <v>275</v>
      </c>
      <c r="C31" s="205">
        <v>101194084.30131838</v>
      </c>
      <c r="D31" s="205">
        <v>115053359.60550204</v>
      </c>
      <c r="E31" s="205">
        <f>D31-C31</f>
        <v>13859275.304183662</v>
      </c>
    </row>
    <row r="32" spans="1:5" ht="12.75">
      <c r="A32" s="178">
        <f t="shared" si="0"/>
        <v>19</v>
      </c>
      <c r="B32" s="226" t="s">
        <v>276</v>
      </c>
      <c r="C32" s="223">
        <v>1419634.77</v>
      </c>
      <c r="D32" s="223">
        <v>1662797.5177394</v>
      </c>
      <c r="E32" s="223">
        <f>D32-C32</f>
        <v>243162.74773940002</v>
      </c>
    </row>
    <row r="33" spans="1:5" ht="12.75">
      <c r="A33" s="178">
        <f t="shared" si="0"/>
        <v>20</v>
      </c>
      <c r="E33" s="233"/>
    </row>
    <row r="34" spans="1:5" ht="12.75">
      <c r="A34" s="178">
        <f t="shared" si="0"/>
        <v>21</v>
      </c>
      <c r="B34" s="224" t="s">
        <v>277</v>
      </c>
      <c r="C34" s="190">
        <f>SUM(C30:C32)</f>
        <v>1240971412.0992904</v>
      </c>
      <c r="D34" s="190">
        <f>SUM(D30:D32)</f>
        <v>939719700.6184368</v>
      </c>
      <c r="E34" s="190">
        <f>SUM(E30:E32)</f>
        <v>-301251711.48085344</v>
      </c>
    </row>
    <row r="35" spans="1:5" ht="12.75">
      <c r="A35" s="178">
        <f t="shared" si="0"/>
        <v>22</v>
      </c>
      <c r="C35" s="225"/>
      <c r="D35" s="225"/>
      <c r="E35" s="225"/>
    </row>
    <row r="36" spans="1:5" ht="12.75">
      <c r="A36" s="178">
        <f t="shared" si="0"/>
        <v>23</v>
      </c>
      <c r="B36" s="226" t="str">
        <f>"INCREASE (DECREASE) OPERATING INCOME (LINE "&amp;A20&amp;" - LINE "&amp;A34&amp;")"</f>
        <v>INCREASE (DECREASE) OPERATING INCOME (LINE 7 - LINE 21)</v>
      </c>
      <c r="C36" s="222">
        <f>C20-C34</f>
        <v>-1065754293.8892903</v>
      </c>
      <c r="D36" s="222">
        <f>D20-D34</f>
        <v>-921266788.4418197</v>
      </c>
      <c r="E36" s="222">
        <f>E20-E34</f>
        <v>144487505.44747052</v>
      </c>
    </row>
    <row r="37" ht="12.75">
      <c r="A37" s="178">
        <f t="shared" si="0"/>
        <v>24</v>
      </c>
    </row>
    <row r="38" spans="1:5" ht="12.75">
      <c r="A38" s="178">
        <f t="shared" si="0"/>
        <v>25</v>
      </c>
      <c r="B38" s="170" t="str">
        <f>"REDUCTION TO STATE UTILITY TAX SAVINGS FOR LINE "&amp;A17</f>
        <v>REDUCTION TO STATE UTILITY TAX SAVINGS FOR LINE 4</v>
      </c>
      <c r="C38" s="185">
        <v>0.03873</v>
      </c>
      <c r="E38" s="234">
        <f>E17*C38</f>
        <v>26145.666603698653</v>
      </c>
    </row>
    <row r="39" spans="1:5" ht="12.75">
      <c r="A39" s="178">
        <f t="shared" si="0"/>
        <v>26</v>
      </c>
      <c r="B39" s="188" t="s">
        <v>278</v>
      </c>
      <c r="C39" s="189"/>
      <c r="D39" s="189"/>
      <c r="E39" s="235">
        <f>E36-E38</f>
        <v>144461359.78086683</v>
      </c>
    </row>
    <row r="40" spans="1:5" ht="12.75">
      <c r="A40" s="178">
        <f t="shared" si="0"/>
        <v>27</v>
      </c>
      <c r="B40" s="188" t="s">
        <v>279</v>
      </c>
      <c r="C40" s="236">
        <v>0.35</v>
      </c>
      <c r="D40" s="237"/>
      <c r="E40" s="204">
        <f>E39*C40</f>
        <v>50561475.92330339</v>
      </c>
    </row>
    <row r="41" spans="1:5" ht="13.5" thickBot="1">
      <c r="A41" s="178">
        <f t="shared" si="0"/>
        <v>28</v>
      </c>
      <c r="B41" s="188" t="s">
        <v>280</v>
      </c>
      <c r="C41" s="189" t="s">
        <v>43</v>
      </c>
      <c r="D41" s="238"/>
      <c r="E41" s="239">
        <f>+E39-E40</f>
        <v>93899883.85756344</v>
      </c>
    </row>
    <row r="42" ht="13.5" thickTop="1">
      <c r="A42" s="178"/>
    </row>
    <row r="43" ht="12.75">
      <c r="A43" s="178"/>
    </row>
    <row r="45" ht="13.5">
      <c r="A45" s="77"/>
    </row>
    <row r="47" ht="12.75">
      <c r="A47" s="240"/>
    </row>
    <row r="48" ht="12.75">
      <c r="A48" s="240"/>
    </row>
    <row r="49" spans="1:2" ht="12.75">
      <c r="A49" s="240"/>
      <c r="B49" s="237"/>
    </row>
    <row r="50" ht="12.75">
      <c r="A50" s="240"/>
    </row>
    <row r="54" ht="12.75">
      <c r="A54" s="241" t="s">
        <v>43</v>
      </c>
    </row>
    <row r="55" ht="12.75">
      <c r="A55" s="241" t="s">
        <v>43</v>
      </c>
    </row>
    <row r="56" ht="12.75">
      <c r="A56" s="241" t="s">
        <v>43</v>
      </c>
    </row>
    <row r="61" ht="12.75">
      <c r="E61" s="242"/>
    </row>
  </sheetData>
  <sheetProtection/>
  <printOptions horizontalCentered="1"/>
  <pageMargins left="0.59" right="0.5" top="0.28" bottom="0.37" header="0.25" footer="0.18"/>
  <pageSetup fitToHeight="1" fitToWidth="1" horizontalDpi="600" verticalDpi="600" orientation="portrait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3"/>
  <sheetViews>
    <sheetView tabSelected="1" view="pageLayout" zoomScaleSheetLayoutView="88" workbookViewId="0" topLeftCell="A54">
      <selection activeCell="Q227" sqref="Q227"/>
    </sheetView>
  </sheetViews>
  <sheetFormatPr defaultColWidth="10.66015625" defaultRowHeight="10.5"/>
  <cols>
    <col min="1" max="1" width="7.33203125" style="271" customWidth="1"/>
    <col min="2" max="2" width="14.5" style="257" customWidth="1"/>
    <col min="3" max="3" width="2.33203125" style="257" customWidth="1"/>
    <col min="4" max="4" width="13.5" style="257" hidden="1" customWidth="1"/>
    <col min="5" max="5" width="17.16015625" style="257" bestFit="1" customWidth="1"/>
    <col min="6" max="6" width="16.66015625" style="257" customWidth="1"/>
    <col min="7" max="7" width="1.66796875" style="260" customWidth="1"/>
    <col min="8" max="8" width="17.16015625" style="483" customWidth="1"/>
    <col min="9" max="9" width="16" style="483" bestFit="1" customWidth="1"/>
    <col min="10" max="10" width="6.16015625" style="260" bestFit="1" customWidth="1"/>
    <col min="11" max="11" width="1.3359375" style="260" customWidth="1"/>
    <col min="12" max="12" width="12.66015625" style="247" bestFit="1" customWidth="1"/>
    <col min="13" max="13" width="15" style="257" customWidth="1"/>
    <col min="14" max="14" width="16.16015625" style="257" customWidth="1"/>
    <col min="15" max="15" width="13.66015625" style="274" bestFit="1" customWidth="1"/>
    <col min="16" max="16" width="11.66015625" style="257" customWidth="1"/>
    <col min="17" max="18" width="15.16015625" style="257" bestFit="1" customWidth="1"/>
    <col min="19" max="19" width="13.83203125" style="257" bestFit="1" customWidth="1"/>
    <col min="20" max="21" width="13.16015625" style="257" bestFit="1" customWidth="1"/>
    <col min="22" max="22" width="16.5" style="257" bestFit="1" customWidth="1"/>
    <col min="23" max="28" width="13.16015625" style="257" bestFit="1" customWidth="1"/>
    <col min="29" max="29" width="16.5" style="257" bestFit="1" customWidth="1"/>
    <col min="30" max="16384" width="10.66015625" style="257" customWidth="1"/>
  </cols>
  <sheetData>
    <row r="1" spans="1:15" s="244" customFormat="1" ht="13.5" thickBot="1">
      <c r="A1" s="243" t="s">
        <v>282</v>
      </c>
      <c r="C1" s="245"/>
      <c r="D1" s="245"/>
      <c r="E1" s="245"/>
      <c r="F1" s="245"/>
      <c r="G1" s="246"/>
      <c r="L1" s="247"/>
      <c r="M1" s="245"/>
      <c r="N1" s="245"/>
      <c r="O1" s="248" t="s">
        <v>283</v>
      </c>
    </row>
    <row r="2" spans="1:17" s="244" customFormat="1" ht="12.75">
      <c r="A2" s="243" t="s">
        <v>284</v>
      </c>
      <c r="C2" s="245"/>
      <c r="D2" s="245"/>
      <c r="H2" s="245"/>
      <c r="K2" s="243"/>
      <c r="L2" s="246"/>
      <c r="M2" s="249" t="s">
        <v>285</v>
      </c>
      <c r="N2" s="250">
        <v>40275</v>
      </c>
      <c r="O2" s="251">
        <v>0.069</v>
      </c>
      <c r="Q2" s="247"/>
    </row>
    <row r="3" spans="1:15" s="244" customFormat="1" ht="13.5" thickBot="1">
      <c r="A3" s="243"/>
      <c r="C3" s="245"/>
      <c r="D3" s="245"/>
      <c r="G3" s="246"/>
      <c r="L3" s="247"/>
      <c r="M3" s="252" t="s">
        <v>286</v>
      </c>
      <c r="N3" s="253">
        <v>41030</v>
      </c>
      <c r="O3" s="254">
        <v>0.0729</v>
      </c>
    </row>
    <row r="4" spans="1:15" s="244" customFormat="1" ht="12.75">
      <c r="A4" s="255"/>
      <c r="C4" s="245"/>
      <c r="D4" s="245"/>
      <c r="G4" s="246"/>
      <c r="L4" s="247"/>
      <c r="M4" s="245"/>
      <c r="N4" s="245"/>
      <c r="O4" s="256"/>
    </row>
    <row r="5" spans="1:15" ht="13.5" customHeight="1">
      <c r="A5" s="257"/>
      <c r="C5" s="258"/>
      <c r="D5" s="258"/>
      <c r="E5" s="259" t="s">
        <v>287</v>
      </c>
      <c r="F5" s="259"/>
      <c r="H5" s="261" t="s">
        <v>288</v>
      </c>
      <c r="I5" s="261"/>
      <c r="J5" s="262"/>
      <c r="K5" s="262"/>
      <c r="L5" s="263"/>
      <c r="M5" s="264"/>
      <c r="N5" s="264"/>
      <c r="O5" s="264"/>
    </row>
    <row r="6" spans="1:15" ht="13.5" customHeight="1">
      <c r="A6" s="257"/>
      <c r="C6" s="258"/>
      <c r="D6" s="258"/>
      <c r="E6" s="265"/>
      <c r="F6" s="265" t="s">
        <v>289</v>
      </c>
      <c r="H6" s="266"/>
      <c r="I6" s="266"/>
      <c r="J6" s="267"/>
      <c r="K6" s="267"/>
      <c r="L6" s="268"/>
      <c r="M6" s="269"/>
      <c r="N6" s="269"/>
      <c r="O6" s="270"/>
    </row>
    <row r="7" spans="3:18" ht="13.5" customHeight="1">
      <c r="C7" s="258"/>
      <c r="D7" s="258"/>
      <c r="E7" s="258"/>
      <c r="F7" s="272" t="s">
        <v>290</v>
      </c>
      <c r="H7" s="266"/>
      <c r="I7" s="266"/>
      <c r="J7" s="267"/>
      <c r="K7" s="267"/>
      <c r="L7" s="273" t="s">
        <v>291</v>
      </c>
      <c r="M7" s="264"/>
      <c r="N7" s="273"/>
      <c r="O7" s="264"/>
      <c r="P7" s="274"/>
      <c r="Q7" s="274"/>
      <c r="R7" s="274"/>
    </row>
    <row r="8" spans="1:18" ht="12.75">
      <c r="A8" s="275" t="s">
        <v>292</v>
      </c>
      <c r="B8" s="276" t="s">
        <v>154</v>
      </c>
      <c r="C8" s="277"/>
      <c r="D8" s="275" t="s">
        <v>293</v>
      </c>
      <c r="E8" s="278" t="s">
        <v>294</v>
      </c>
      <c r="F8" s="275" t="s">
        <v>295</v>
      </c>
      <c r="G8" s="279"/>
      <c r="H8" s="278" t="s">
        <v>294</v>
      </c>
      <c r="I8" s="261" t="s">
        <v>394</v>
      </c>
      <c r="J8" s="280"/>
      <c r="K8" s="279"/>
      <c r="L8" s="281" t="s">
        <v>296</v>
      </c>
      <c r="M8" s="282" t="s">
        <v>297</v>
      </c>
      <c r="N8" s="275" t="s">
        <v>298</v>
      </c>
      <c r="O8" s="275" t="s">
        <v>299</v>
      </c>
      <c r="P8" s="283"/>
      <c r="Q8" s="284"/>
      <c r="R8" s="274"/>
    </row>
    <row r="9" spans="1:18" ht="12.75">
      <c r="A9" s="285"/>
      <c r="B9" s="274"/>
      <c r="C9" s="270"/>
      <c r="D9" s="286"/>
      <c r="E9" s="287"/>
      <c r="F9" s="287" t="s">
        <v>300</v>
      </c>
      <c r="G9" s="288"/>
      <c r="H9" s="287"/>
      <c r="I9" s="287" t="s">
        <v>300</v>
      </c>
      <c r="J9" s="289"/>
      <c r="K9" s="290"/>
      <c r="L9" s="291"/>
      <c r="M9" s="292"/>
      <c r="N9" s="286"/>
      <c r="O9" s="286"/>
      <c r="P9" s="274"/>
      <c r="Q9" s="274"/>
      <c r="R9" s="274"/>
    </row>
    <row r="10" spans="1:15" ht="12.75" hidden="1">
      <c r="A10" s="285">
        <f>ROW()</f>
        <v>10</v>
      </c>
      <c r="B10" s="293" t="s">
        <v>301</v>
      </c>
      <c r="C10" s="270"/>
      <c r="D10" s="286"/>
      <c r="E10" s="286"/>
      <c r="F10" s="284"/>
      <c r="G10" s="290"/>
      <c r="H10" s="294" t="s">
        <v>302</v>
      </c>
      <c r="I10" s="266"/>
      <c r="J10" s="289"/>
      <c r="K10" s="290"/>
      <c r="L10" s="291"/>
      <c r="M10" s="292"/>
      <c r="N10" s="286"/>
      <c r="O10" s="284"/>
    </row>
    <row r="11" spans="1:15" s="271" customFormat="1" ht="12.75" hidden="1">
      <c r="A11" s="285">
        <f>ROW()</f>
        <v>11</v>
      </c>
      <c r="B11" s="285" t="s">
        <v>303</v>
      </c>
      <c r="C11" s="295" t="s">
        <v>304</v>
      </c>
      <c r="D11" s="296"/>
      <c r="E11" s="296"/>
      <c r="F11" s="297">
        <v>12588000</v>
      </c>
      <c r="G11" s="298"/>
      <c r="H11" s="299"/>
      <c r="I11" s="300"/>
      <c r="J11" s="301"/>
      <c r="K11" s="298"/>
      <c r="L11" s="302"/>
      <c r="M11" s="292"/>
      <c r="N11" s="286"/>
      <c r="O11" s="292"/>
    </row>
    <row r="12" spans="1:15" ht="12.75" hidden="1">
      <c r="A12" s="285">
        <f>ROW()</f>
        <v>12</v>
      </c>
      <c r="B12" s="303" t="s">
        <v>305</v>
      </c>
      <c r="C12" s="295" t="s">
        <v>304</v>
      </c>
      <c r="D12" s="297">
        <v>709000</v>
      </c>
      <c r="E12" s="297">
        <v>-312000</v>
      </c>
      <c r="F12" s="297">
        <f aca="true" t="shared" si="0" ref="F12:F18">F11+SUM(D12:E12)</f>
        <v>12985000</v>
      </c>
      <c r="G12" s="298"/>
      <c r="H12" s="304"/>
      <c r="I12" s="297"/>
      <c r="J12" s="301"/>
      <c r="K12" s="298"/>
      <c r="L12" s="302"/>
      <c r="M12" s="270"/>
      <c r="N12" s="270"/>
      <c r="O12" s="270"/>
    </row>
    <row r="13" spans="1:15" ht="12.75" hidden="1">
      <c r="A13" s="285">
        <f>ROW()</f>
        <v>13</v>
      </c>
      <c r="B13" s="303" t="s">
        <v>306</v>
      </c>
      <c r="C13" s="295" t="s">
        <v>304</v>
      </c>
      <c r="D13" s="297">
        <v>720000</v>
      </c>
      <c r="E13" s="297">
        <v>-741000</v>
      </c>
      <c r="F13" s="297">
        <f t="shared" si="0"/>
        <v>12964000</v>
      </c>
      <c r="G13" s="298"/>
      <c r="H13" s="304"/>
      <c r="I13" s="297"/>
      <c r="J13" s="301"/>
      <c r="K13" s="298"/>
      <c r="L13" s="302"/>
      <c r="M13" s="270"/>
      <c r="N13" s="270"/>
      <c r="O13" s="270"/>
    </row>
    <row r="14" spans="1:15" ht="12.75" hidden="1">
      <c r="A14" s="285">
        <f>ROW()</f>
        <v>14</v>
      </c>
      <c r="B14" s="303" t="s">
        <v>307</v>
      </c>
      <c r="C14" s="295" t="s">
        <v>304</v>
      </c>
      <c r="D14" s="297">
        <v>548000</v>
      </c>
      <c r="E14" s="297">
        <v>-1070000</v>
      </c>
      <c r="F14" s="297">
        <f t="shared" si="0"/>
        <v>12442000</v>
      </c>
      <c r="G14" s="298"/>
      <c r="H14" s="304"/>
      <c r="I14" s="297"/>
      <c r="J14" s="305"/>
      <c r="K14" s="298"/>
      <c r="L14" s="302"/>
      <c r="M14" s="306"/>
      <c r="N14" s="306"/>
      <c r="O14" s="307"/>
    </row>
    <row r="15" spans="1:15" ht="12.75" hidden="1">
      <c r="A15" s="285">
        <f>ROW()</f>
        <v>15</v>
      </c>
      <c r="B15" s="303" t="s">
        <v>308</v>
      </c>
      <c r="C15" s="295" t="s">
        <v>304</v>
      </c>
      <c r="D15" s="297">
        <v>0</v>
      </c>
      <c r="E15" s="297">
        <v>-1409000</v>
      </c>
      <c r="F15" s="297">
        <f t="shared" si="0"/>
        <v>11033000</v>
      </c>
      <c r="G15" s="298"/>
      <c r="H15" s="304"/>
      <c r="I15" s="297"/>
      <c r="J15" s="301"/>
      <c r="K15" s="298"/>
      <c r="L15" s="302"/>
      <c r="M15" s="270"/>
      <c r="N15" s="270"/>
      <c r="O15" s="307"/>
    </row>
    <row r="16" spans="1:15" ht="12.75" hidden="1">
      <c r="A16" s="285">
        <f>ROW()</f>
        <v>16</v>
      </c>
      <c r="B16" s="303" t="s">
        <v>309</v>
      </c>
      <c r="C16" s="295" t="s">
        <v>304</v>
      </c>
      <c r="D16" s="297">
        <v>0</v>
      </c>
      <c r="E16" s="297">
        <v>-1768000</v>
      </c>
      <c r="F16" s="297">
        <f t="shared" si="0"/>
        <v>9265000</v>
      </c>
      <c r="G16" s="298"/>
      <c r="H16" s="304"/>
      <c r="I16" s="297"/>
      <c r="J16" s="301"/>
      <c r="K16" s="298"/>
      <c r="L16" s="302"/>
      <c r="M16" s="306"/>
      <c r="N16" s="306"/>
      <c r="O16" s="307"/>
    </row>
    <row r="17" spans="1:15" ht="12.75" customHeight="1" hidden="1">
      <c r="A17" s="285">
        <f>ROW()</f>
        <v>17</v>
      </c>
      <c r="B17" s="303" t="s">
        <v>310</v>
      </c>
      <c r="C17" s="295" t="s">
        <v>304</v>
      </c>
      <c r="D17" s="297">
        <v>0</v>
      </c>
      <c r="E17" s="297">
        <v>-2163000</v>
      </c>
      <c r="F17" s="297">
        <f t="shared" si="0"/>
        <v>7102000</v>
      </c>
      <c r="G17" s="298"/>
      <c r="H17" s="308">
        <v>-1965500</v>
      </c>
      <c r="I17" s="297">
        <v>8621791.666666666</v>
      </c>
      <c r="J17" s="309">
        <v>38533</v>
      </c>
      <c r="K17" s="310"/>
      <c r="L17" s="311" t="s">
        <v>311</v>
      </c>
      <c r="M17" s="312">
        <v>621239.064805936</v>
      </c>
      <c r="N17" s="312">
        <f aca="true" t="shared" si="1" ref="N17:N22">+M17/(1-0.35)</f>
        <v>955752.4073937476</v>
      </c>
      <c r="O17" s="306">
        <f aca="true" t="shared" si="2" ref="O17:O22">N17/12</f>
        <v>79646.03394947897</v>
      </c>
    </row>
    <row r="18" spans="1:15" ht="12.75" hidden="1">
      <c r="A18" s="285">
        <f>ROW()</f>
        <v>18</v>
      </c>
      <c r="B18" s="313" t="s">
        <v>312</v>
      </c>
      <c r="C18" s="314" t="s">
        <v>304</v>
      </c>
      <c r="D18" s="315">
        <v>0</v>
      </c>
      <c r="E18" s="316">
        <v>-2614000</v>
      </c>
      <c r="F18" s="316">
        <f t="shared" si="0"/>
        <v>4488000</v>
      </c>
      <c r="G18" s="317"/>
      <c r="H18" s="318">
        <v>-2388500</v>
      </c>
      <c r="I18" s="315">
        <v>5410125</v>
      </c>
      <c r="J18" s="319">
        <v>38898</v>
      </c>
      <c r="K18" s="320"/>
      <c r="L18" s="321">
        <v>0.07010000000000001</v>
      </c>
      <c r="M18" s="322">
        <f>I18*L18</f>
        <v>379249.76250000007</v>
      </c>
      <c r="N18" s="322">
        <f t="shared" si="1"/>
        <v>583461.1730769231</v>
      </c>
      <c r="O18" s="323">
        <f t="shared" si="2"/>
        <v>48621.76442307693</v>
      </c>
    </row>
    <row r="19" spans="1:15" ht="12.75" hidden="1">
      <c r="A19" s="285">
        <f>ROW()</f>
        <v>19</v>
      </c>
      <c r="B19" s="324"/>
      <c r="C19" s="325"/>
      <c r="D19" s="326"/>
      <c r="E19" s="327"/>
      <c r="F19" s="327"/>
      <c r="G19" s="328"/>
      <c r="H19" s="329">
        <v>-1307000</v>
      </c>
      <c r="I19" s="326">
        <v>3984333.3333333335</v>
      </c>
      <c r="J19" s="330">
        <v>39082</v>
      </c>
      <c r="K19" s="328"/>
      <c r="L19" s="331">
        <f>$L$18</f>
        <v>0.07010000000000001</v>
      </c>
      <c r="M19" s="332">
        <f>I19*L19</f>
        <v>279301.7666666667</v>
      </c>
      <c r="N19" s="332">
        <f t="shared" si="1"/>
        <v>429695.0256410257</v>
      </c>
      <c r="O19" s="333">
        <f t="shared" si="2"/>
        <v>35807.918803418805</v>
      </c>
    </row>
    <row r="20" spans="1:15" ht="12.75" hidden="1">
      <c r="A20" s="285">
        <f>ROW()</f>
        <v>20</v>
      </c>
      <c r="B20" s="303" t="s">
        <v>313</v>
      </c>
      <c r="C20" s="295" t="s">
        <v>304</v>
      </c>
      <c r="D20" s="297">
        <v>0</v>
      </c>
      <c r="E20" s="297">
        <v>-3078000</v>
      </c>
      <c r="F20" s="297">
        <v>1374000</v>
      </c>
      <c r="G20" s="298"/>
      <c r="H20" s="308">
        <v>-3078000</v>
      </c>
      <c r="I20" s="297">
        <v>2791458.3333333335</v>
      </c>
      <c r="J20" s="334">
        <v>39447</v>
      </c>
      <c r="K20" s="298"/>
      <c r="L20" s="311" t="s">
        <v>314</v>
      </c>
      <c r="M20" s="312">
        <v>197031.07134703195</v>
      </c>
      <c r="N20" s="312">
        <f t="shared" si="1"/>
        <v>303124.7251492799</v>
      </c>
      <c r="O20" s="306">
        <f t="shared" si="2"/>
        <v>25260.393762439995</v>
      </c>
    </row>
    <row r="21" spans="1:15" ht="12.75" hidden="1">
      <c r="A21" s="285">
        <f>ROW()</f>
        <v>21</v>
      </c>
      <c r="B21" s="303" t="s">
        <v>315</v>
      </c>
      <c r="C21" s="295" t="s">
        <v>304</v>
      </c>
      <c r="D21" s="297">
        <v>0</v>
      </c>
      <c r="E21" s="297">
        <v>-1410000</v>
      </c>
      <c r="F21" s="297">
        <v>0</v>
      </c>
      <c r="G21" s="298"/>
      <c r="H21" s="308">
        <v>-1410000</v>
      </c>
      <c r="I21" s="297">
        <v>691208.3333333334</v>
      </c>
      <c r="J21" s="334">
        <v>39813</v>
      </c>
      <c r="K21" s="298"/>
      <c r="L21" s="311" t="s">
        <v>316</v>
      </c>
      <c r="M21" s="312">
        <v>48730.18750000002</v>
      </c>
      <c r="N21" s="312">
        <f t="shared" si="1"/>
        <v>74969.51923076926</v>
      </c>
      <c r="O21" s="306">
        <f t="shared" si="2"/>
        <v>6247.459935897438</v>
      </c>
    </row>
    <row r="22" spans="1:15" ht="12.75" hidden="1">
      <c r="A22" s="285">
        <f>ROW()</f>
        <v>22</v>
      </c>
      <c r="B22" s="303" t="s">
        <v>317</v>
      </c>
      <c r="C22" s="295" t="s">
        <v>304</v>
      </c>
      <c r="D22" s="297">
        <v>0</v>
      </c>
      <c r="E22" s="297">
        <v>0</v>
      </c>
      <c r="F22" s="297">
        <v>0</v>
      </c>
      <c r="G22" s="298"/>
      <c r="H22" s="308">
        <v>0</v>
      </c>
      <c r="I22" s="297">
        <v>0</v>
      </c>
      <c r="J22" s="334">
        <v>40178</v>
      </c>
      <c r="K22" s="298"/>
      <c r="L22" s="302">
        <v>0.07</v>
      </c>
      <c r="M22" s="312">
        <f>I22*L22</f>
        <v>0</v>
      </c>
      <c r="N22" s="312">
        <f t="shared" si="1"/>
        <v>0</v>
      </c>
      <c r="O22" s="306">
        <f t="shared" si="2"/>
        <v>0</v>
      </c>
    </row>
    <row r="23" spans="1:15" ht="12.75" hidden="1">
      <c r="A23" s="285">
        <f>ROW()</f>
        <v>23</v>
      </c>
      <c r="B23" s="303"/>
      <c r="C23" s="295"/>
      <c r="D23" s="297"/>
      <c r="E23" s="297"/>
      <c r="F23" s="297"/>
      <c r="G23" s="298"/>
      <c r="H23" s="304"/>
      <c r="I23" s="297"/>
      <c r="J23" s="334"/>
      <c r="K23" s="298"/>
      <c r="L23" s="302"/>
      <c r="M23" s="306"/>
      <c r="N23" s="306"/>
      <c r="O23" s="306"/>
    </row>
    <row r="24" spans="1:15" ht="12.75">
      <c r="A24" s="335">
        <f>ROW()</f>
        <v>24</v>
      </c>
      <c r="B24" s="336"/>
      <c r="C24" s="337"/>
      <c r="D24" s="315"/>
      <c r="E24" s="315"/>
      <c r="F24" s="315"/>
      <c r="G24" s="317"/>
      <c r="H24" s="338"/>
      <c r="I24" s="315"/>
      <c r="J24" s="339"/>
      <c r="K24" s="317"/>
      <c r="L24" s="340"/>
      <c r="M24" s="341"/>
      <c r="N24" s="341"/>
      <c r="O24" s="341"/>
    </row>
    <row r="25" spans="1:15" ht="12.75">
      <c r="A25" s="285">
        <f>ROW()</f>
        <v>25</v>
      </c>
      <c r="B25" s="293" t="s">
        <v>318</v>
      </c>
      <c r="C25" s="295"/>
      <c r="D25" s="297"/>
      <c r="E25" s="297"/>
      <c r="F25" s="297"/>
      <c r="G25" s="298"/>
      <c r="H25" s="342" t="s">
        <v>319</v>
      </c>
      <c r="I25" s="297"/>
      <c r="J25" s="334"/>
      <c r="K25" s="298"/>
      <c r="L25" s="291"/>
      <c r="M25" s="343"/>
      <c r="N25" s="343"/>
      <c r="O25" s="270"/>
    </row>
    <row r="26" spans="1:15" ht="12.75" hidden="1">
      <c r="A26" s="285">
        <f>ROW()</f>
        <v>26</v>
      </c>
      <c r="B26" s="285" t="s">
        <v>303</v>
      </c>
      <c r="C26" s="295" t="s">
        <v>304</v>
      </c>
      <c r="D26" s="297"/>
      <c r="E26" s="297"/>
      <c r="F26" s="297">
        <v>215000000</v>
      </c>
      <c r="G26" s="298"/>
      <c r="H26" s="304"/>
      <c r="I26" s="297"/>
      <c r="J26" s="334"/>
      <c r="K26" s="298"/>
      <c r="L26" s="291"/>
      <c r="M26" s="343"/>
      <c r="N26" s="343"/>
      <c r="O26" s="270"/>
    </row>
    <row r="27" spans="1:15" ht="12.75" hidden="1">
      <c r="A27" s="285">
        <f>ROW()</f>
        <v>27</v>
      </c>
      <c r="B27" s="303" t="s">
        <v>320</v>
      </c>
      <c r="C27" s="295" t="s">
        <v>304</v>
      </c>
      <c r="D27" s="297">
        <v>8754000</v>
      </c>
      <c r="E27" s="297">
        <v>-1952000</v>
      </c>
      <c r="F27" s="297">
        <f aca="true" t="shared" si="3" ref="F27:F35">F26+SUM(D27:E27)</f>
        <v>221802000</v>
      </c>
      <c r="G27" s="298"/>
      <c r="H27" s="304"/>
      <c r="I27" s="297"/>
      <c r="J27" s="334"/>
      <c r="K27" s="298"/>
      <c r="L27" s="291"/>
      <c r="M27" s="343"/>
      <c r="N27" s="343"/>
      <c r="O27" s="270"/>
    </row>
    <row r="28" spans="1:15" ht="12.75" hidden="1">
      <c r="A28" s="285">
        <f>ROW()</f>
        <v>28</v>
      </c>
      <c r="B28" s="303" t="s">
        <v>321</v>
      </c>
      <c r="C28" s="295" t="s">
        <v>304</v>
      </c>
      <c r="D28" s="297">
        <v>8795000</v>
      </c>
      <c r="E28" s="297">
        <v>-3863000</v>
      </c>
      <c r="F28" s="297">
        <f t="shared" si="3"/>
        <v>226734000</v>
      </c>
      <c r="G28" s="298"/>
      <c r="H28" s="304"/>
      <c r="I28" s="297"/>
      <c r="J28" s="334"/>
      <c r="K28" s="298"/>
      <c r="L28" s="291"/>
      <c r="M28" s="343"/>
      <c r="N28" s="343"/>
      <c r="O28" s="270"/>
    </row>
    <row r="29" spans="1:15" ht="12.75" hidden="1">
      <c r="A29" s="285">
        <f>ROW()</f>
        <v>29</v>
      </c>
      <c r="B29" s="303" t="s">
        <v>305</v>
      </c>
      <c r="C29" s="295" t="s">
        <v>304</v>
      </c>
      <c r="D29" s="297">
        <v>8849000</v>
      </c>
      <c r="E29" s="297">
        <v>-5463000</v>
      </c>
      <c r="F29" s="297">
        <f t="shared" si="3"/>
        <v>230120000</v>
      </c>
      <c r="G29" s="298"/>
      <c r="H29" s="304"/>
      <c r="I29" s="297"/>
      <c r="J29" s="334"/>
      <c r="K29" s="298"/>
      <c r="L29" s="291"/>
      <c r="M29" s="343"/>
      <c r="N29" s="343"/>
      <c r="O29" s="270"/>
    </row>
    <row r="30" spans="1:15" ht="12.75" hidden="1">
      <c r="A30" s="285">
        <f>ROW()</f>
        <v>30</v>
      </c>
      <c r="B30" s="303" t="s">
        <v>306</v>
      </c>
      <c r="C30" s="295" t="s">
        <v>304</v>
      </c>
      <c r="D30" s="297">
        <v>8838000</v>
      </c>
      <c r="E30" s="297">
        <v>-7382000</v>
      </c>
      <c r="F30" s="297">
        <f t="shared" si="3"/>
        <v>231576000</v>
      </c>
      <c r="G30" s="298"/>
      <c r="H30" s="304"/>
      <c r="I30" s="297"/>
      <c r="J30" s="334"/>
      <c r="K30" s="298"/>
      <c r="L30" s="291"/>
      <c r="M30" s="343"/>
      <c r="N30" s="343"/>
      <c r="O30" s="270"/>
    </row>
    <row r="31" spans="1:15" ht="12.75" hidden="1">
      <c r="A31" s="285">
        <f>ROW()</f>
        <v>31</v>
      </c>
      <c r="B31" s="303" t="s">
        <v>307</v>
      </c>
      <c r="C31" s="295" t="s">
        <v>304</v>
      </c>
      <c r="D31" s="297">
        <v>6562000</v>
      </c>
      <c r="E31" s="297">
        <v>-9494000</v>
      </c>
      <c r="F31" s="297">
        <f t="shared" si="3"/>
        <v>228644000</v>
      </c>
      <c r="G31" s="298"/>
      <c r="H31" s="304"/>
      <c r="I31" s="297"/>
      <c r="J31" s="334"/>
      <c r="K31" s="298"/>
      <c r="L31" s="302"/>
      <c r="M31" s="306"/>
      <c r="N31" s="306"/>
      <c r="O31" s="307"/>
    </row>
    <row r="32" spans="1:15" ht="12.75" hidden="1">
      <c r="A32" s="285">
        <f>ROW()</f>
        <v>32</v>
      </c>
      <c r="B32" s="303" t="s">
        <v>308</v>
      </c>
      <c r="C32" s="295" t="s">
        <v>304</v>
      </c>
      <c r="D32" s="297">
        <v>0</v>
      </c>
      <c r="E32" s="297">
        <v>-11924000</v>
      </c>
      <c r="F32" s="297">
        <f t="shared" si="3"/>
        <v>216720000</v>
      </c>
      <c r="G32" s="298"/>
      <c r="H32" s="304"/>
      <c r="I32" s="297"/>
      <c r="J32" s="334"/>
      <c r="K32" s="298"/>
      <c r="L32" s="302"/>
      <c r="M32" s="306"/>
      <c r="N32" s="306"/>
      <c r="O32" s="307"/>
    </row>
    <row r="33" spans="1:15" ht="12.75" hidden="1">
      <c r="A33" s="285">
        <f>ROW()</f>
        <v>33</v>
      </c>
      <c r="B33" s="303" t="s">
        <v>309</v>
      </c>
      <c r="C33" s="295" t="s">
        <v>304</v>
      </c>
      <c r="D33" s="297">
        <v>0</v>
      </c>
      <c r="E33" s="297">
        <v>-14744000</v>
      </c>
      <c r="F33" s="297">
        <f t="shared" si="3"/>
        <v>201976000</v>
      </c>
      <c r="G33" s="298"/>
      <c r="H33" s="304"/>
      <c r="I33" s="297"/>
      <c r="J33" s="334"/>
      <c r="K33" s="298"/>
      <c r="L33" s="302"/>
      <c r="M33" s="306"/>
      <c r="N33" s="306"/>
      <c r="O33" s="307"/>
    </row>
    <row r="34" spans="1:15" ht="12.75" hidden="1">
      <c r="A34" s="285">
        <f>ROW()</f>
        <v>34</v>
      </c>
      <c r="B34" s="303" t="s">
        <v>310</v>
      </c>
      <c r="C34" s="295" t="s">
        <v>304</v>
      </c>
      <c r="D34" s="297">
        <v>0</v>
      </c>
      <c r="E34" s="297">
        <v>-17908000</v>
      </c>
      <c r="F34" s="297">
        <f t="shared" si="3"/>
        <v>184068000</v>
      </c>
      <c r="G34" s="298"/>
      <c r="H34" s="304">
        <v>-16326000</v>
      </c>
      <c r="I34" s="297">
        <v>198322583.33333334</v>
      </c>
      <c r="J34" s="309">
        <v>38533</v>
      </c>
      <c r="K34" s="310"/>
      <c r="L34" s="311" t="str">
        <f>L17</f>
        <v>7.3%&amp;7.01%</v>
      </c>
      <c r="M34" s="312">
        <v>14290038.655913249</v>
      </c>
      <c r="N34" s="312">
        <f aca="true" t="shared" si="4" ref="N34:N41">+M34/(1-0.35)</f>
        <v>21984674.855251152</v>
      </c>
      <c r="O34" s="306">
        <f aca="true" t="shared" si="5" ref="O34:O41">N34/12</f>
        <v>1832056.237937596</v>
      </c>
    </row>
    <row r="35" spans="1:15" ht="12.75" hidden="1">
      <c r="A35" s="285">
        <f>ROW()</f>
        <v>35</v>
      </c>
      <c r="B35" s="313" t="s">
        <v>312</v>
      </c>
      <c r="C35" s="314" t="s">
        <v>304</v>
      </c>
      <c r="D35" s="315">
        <v>0</v>
      </c>
      <c r="E35" s="316">
        <v>-20615000</v>
      </c>
      <c r="F35" s="316">
        <f t="shared" si="3"/>
        <v>163453000</v>
      </c>
      <c r="G35" s="317"/>
      <c r="H35" s="318">
        <v>-19261500</v>
      </c>
      <c r="I35" s="315">
        <v>173230500</v>
      </c>
      <c r="J35" s="319">
        <v>38898</v>
      </c>
      <c r="K35" s="320"/>
      <c r="L35" s="321">
        <f>$L$18</f>
        <v>0.07010000000000001</v>
      </c>
      <c r="M35" s="322">
        <f>I35*L35</f>
        <v>12143458.05</v>
      </c>
      <c r="N35" s="322">
        <f t="shared" si="4"/>
        <v>18682243.153846156</v>
      </c>
      <c r="O35" s="323">
        <f t="shared" si="5"/>
        <v>1556853.5961538462</v>
      </c>
    </row>
    <row r="36" spans="1:15" ht="12.75" hidden="1">
      <c r="A36" s="285">
        <f>ROW()</f>
        <v>36</v>
      </c>
      <c r="B36" s="324"/>
      <c r="C36" s="325"/>
      <c r="D36" s="326"/>
      <c r="E36" s="327"/>
      <c r="F36" s="327"/>
      <c r="G36" s="328"/>
      <c r="H36" s="329">
        <v>-10307500</v>
      </c>
      <c r="I36" s="326">
        <v>158961666.66666666</v>
      </c>
      <c r="J36" s="330">
        <v>39082</v>
      </c>
      <c r="K36" s="328"/>
      <c r="L36" s="331">
        <f>$L$18</f>
        <v>0.07010000000000001</v>
      </c>
      <c r="M36" s="332">
        <f>I36*L36</f>
        <v>11143212.833333334</v>
      </c>
      <c r="N36" s="332">
        <f t="shared" si="4"/>
        <v>17143404.35897436</v>
      </c>
      <c r="O36" s="333">
        <f t="shared" si="5"/>
        <v>1428617.02991453</v>
      </c>
    </row>
    <row r="37" spans="1:15" ht="12.75" hidden="1">
      <c r="A37" s="285">
        <f>ROW()</f>
        <v>37</v>
      </c>
      <c r="B37" s="303" t="s">
        <v>313</v>
      </c>
      <c r="C37" s="295" t="s">
        <v>304</v>
      </c>
      <c r="D37" s="297">
        <v>0</v>
      </c>
      <c r="E37" s="297">
        <v>-24343000</v>
      </c>
      <c r="F37" s="297">
        <v>131477000</v>
      </c>
      <c r="G37" s="298"/>
      <c r="H37" s="308">
        <v>-24343000</v>
      </c>
      <c r="I37" s="297">
        <v>142912958.33333334</v>
      </c>
      <c r="J37" s="334">
        <v>39447</v>
      </c>
      <c r="K37" s="298"/>
      <c r="L37" s="311" t="s">
        <v>314</v>
      </c>
      <c r="M37" s="312">
        <v>10087305.604223749</v>
      </c>
      <c r="N37" s="312">
        <f t="shared" si="4"/>
        <v>15518931.698805766</v>
      </c>
      <c r="O37" s="306">
        <f t="shared" si="5"/>
        <v>1293244.3082338138</v>
      </c>
    </row>
    <row r="38" spans="1:15" ht="12.75" hidden="1">
      <c r="A38" s="285">
        <f>ROW()</f>
        <v>38</v>
      </c>
      <c r="B38" s="303" t="s">
        <v>315</v>
      </c>
      <c r="C38" s="295" t="s">
        <v>304</v>
      </c>
      <c r="D38" s="297">
        <v>0</v>
      </c>
      <c r="E38" s="297">
        <v>-28272000</v>
      </c>
      <c r="F38" s="297">
        <v>104886000</v>
      </c>
      <c r="G38" s="298"/>
      <c r="H38" s="308">
        <v>-28272000</v>
      </c>
      <c r="I38" s="308">
        <v>118181041.66666667</v>
      </c>
      <c r="J38" s="334">
        <v>39813</v>
      </c>
      <c r="K38" s="298"/>
      <c r="L38" s="311" t="str">
        <f>$L$21</f>
        <v>7.06%&amp;7.00%</v>
      </c>
      <c r="M38" s="312">
        <v>8331763.437500003</v>
      </c>
      <c r="N38" s="312">
        <f t="shared" si="4"/>
        <v>12818097.59615385</v>
      </c>
      <c r="O38" s="306">
        <f t="shared" si="5"/>
        <v>1068174.7996794875</v>
      </c>
    </row>
    <row r="39" spans="1:15" ht="12.75" hidden="1">
      <c r="A39" s="285">
        <f>ROW()</f>
        <v>39</v>
      </c>
      <c r="B39" s="303" t="s">
        <v>317</v>
      </c>
      <c r="C39" s="295" t="s">
        <v>304</v>
      </c>
      <c r="D39" s="297">
        <v>0</v>
      </c>
      <c r="E39" s="297">
        <v>-32676000</v>
      </c>
      <c r="F39" s="297">
        <v>74153000</v>
      </c>
      <c r="G39" s="298"/>
      <c r="H39" s="308">
        <v>-32676000</v>
      </c>
      <c r="I39" s="344">
        <v>89519208.33333333</v>
      </c>
      <c r="J39" s="334">
        <v>40178</v>
      </c>
      <c r="K39" s="298"/>
      <c r="L39" s="302">
        <f>$L$22</f>
        <v>0.07</v>
      </c>
      <c r="M39" s="312">
        <v>6266344.583333332</v>
      </c>
      <c r="N39" s="312">
        <f t="shared" si="4"/>
        <v>9640530.128205126</v>
      </c>
      <c r="O39" s="306">
        <f t="shared" si="5"/>
        <v>803377.5106837605</v>
      </c>
    </row>
    <row r="40" spans="1:15" ht="12.75">
      <c r="A40" s="285">
        <f>A25+1</f>
        <v>26</v>
      </c>
      <c r="B40" s="303" t="s">
        <v>322</v>
      </c>
      <c r="C40" s="295" t="s">
        <v>304</v>
      </c>
      <c r="D40" s="297">
        <v>0</v>
      </c>
      <c r="E40" s="297">
        <v>-37533000</v>
      </c>
      <c r="F40" s="297">
        <v>38851000</v>
      </c>
      <c r="G40" s="298"/>
      <c r="H40" s="308">
        <v>-37533000</v>
      </c>
      <c r="I40" s="344">
        <v>56501833.333333336</v>
      </c>
      <c r="J40" s="334">
        <v>40543</v>
      </c>
      <c r="K40" s="298"/>
      <c r="L40" s="345" t="s">
        <v>323</v>
      </c>
      <c r="M40" s="312">
        <v>3913642.0557077625</v>
      </c>
      <c r="N40" s="312">
        <f t="shared" si="4"/>
        <v>6020987.778011942</v>
      </c>
      <c r="O40" s="306">
        <f t="shared" si="5"/>
        <v>501748.98150099517</v>
      </c>
    </row>
    <row r="41" spans="1:18" ht="12.75">
      <c r="A41" s="285">
        <f>A26+1</f>
        <v>27</v>
      </c>
      <c r="B41" s="303" t="s">
        <v>324</v>
      </c>
      <c r="C41" s="295" t="s">
        <v>304</v>
      </c>
      <c r="D41" s="297">
        <v>0</v>
      </c>
      <c r="E41" s="297">
        <v>-40629000</v>
      </c>
      <c r="F41" s="297">
        <v>0</v>
      </c>
      <c r="G41" s="298"/>
      <c r="H41" s="308">
        <v>-40629000</v>
      </c>
      <c r="I41" s="344">
        <v>19424708.333333332</v>
      </c>
      <c r="J41" s="334">
        <v>40908</v>
      </c>
      <c r="K41" s="298"/>
      <c r="L41" s="311">
        <v>0.069</v>
      </c>
      <c r="M41" s="312">
        <v>1340304.875</v>
      </c>
      <c r="N41" s="312">
        <f t="shared" si="4"/>
        <v>2062007.5</v>
      </c>
      <c r="O41" s="306">
        <f t="shared" si="5"/>
        <v>171833.95833333334</v>
      </c>
      <c r="Q41" s="346"/>
      <c r="R41" s="346"/>
    </row>
    <row r="42" spans="1:15" ht="12.75">
      <c r="A42" s="285">
        <f>A27+1</f>
        <v>28</v>
      </c>
      <c r="B42" s="336"/>
      <c r="C42" s="337"/>
      <c r="D42" s="315"/>
      <c r="E42" s="315"/>
      <c r="F42" s="315"/>
      <c r="G42" s="317"/>
      <c r="H42" s="338"/>
      <c r="I42" s="315"/>
      <c r="J42" s="339"/>
      <c r="K42" s="317"/>
      <c r="L42" s="340"/>
      <c r="M42" s="347"/>
      <c r="N42" s="347"/>
      <c r="O42" s="347"/>
    </row>
    <row r="43" spans="1:15" ht="12.75">
      <c r="A43" s="285">
        <f>A28+1</f>
        <v>29</v>
      </c>
      <c r="B43" s="293" t="s">
        <v>247</v>
      </c>
      <c r="C43" s="295"/>
      <c r="D43" s="297"/>
      <c r="E43" s="297"/>
      <c r="F43" s="297"/>
      <c r="G43" s="298"/>
      <c r="H43" s="342" t="s">
        <v>325</v>
      </c>
      <c r="I43" s="297"/>
      <c r="J43" s="334"/>
      <c r="K43" s="298"/>
      <c r="L43" s="291"/>
      <c r="M43" s="306"/>
      <c r="N43" s="306"/>
      <c r="O43" s="307"/>
    </row>
    <row r="44" spans="1:15" ht="12.75" hidden="1">
      <c r="A44" s="285">
        <f>ROW()</f>
        <v>44</v>
      </c>
      <c r="B44" s="285" t="s">
        <v>303</v>
      </c>
      <c r="C44" s="295"/>
      <c r="D44" s="343"/>
      <c r="E44" s="348"/>
      <c r="F44" s="297">
        <f>54662518+43</f>
        <v>54662561</v>
      </c>
      <c r="G44" s="298"/>
      <c r="H44" s="304"/>
      <c r="I44" s="297"/>
      <c r="J44" s="334"/>
      <c r="K44" s="298"/>
      <c r="L44" s="291"/>
      <c r="M44" s="343"/>
      <c r="N44" s="343"/>
      <c r="O44" s="270"/>
    </row>
    <row r="45" spans="1:15" ht="12.75" hidden="1">
      <c r="A45" s="285">
        <f>ROW()</f>
        <v>45</v>
      </c>
      <c r="B45" s="303" t="s">
        <v>307</v>
      </c>
      <c r="C45" s="295" t="s">
        <v>304</v>
      </c>
      <c r="D45" s="297">
        <v>0</v>
      </c>
      <c r="E45" s="297">
        <v>-3526620</v>
      </c>
      <c r="F45" s="297">
        <f>F44+E45</f>
        <v>51135941</v>
      </c>
      <c r="G45" s="298"/>
      <c r="H45" s="304"/>
      <c r="I45" s="297"/>
      <c r="J45" s="334"/>
      <c r="K45" s="298"/>
      <c r="L45" s="302"/>
      <c r="M45" s="306"/>
      <c r="N45" s="306"/>
      <c r="O45" s="307"/>
    </row>
    <row r="46" spans="1:15" ht="12.75" hidden="1">
      <c r="A46" s="285">
        <f>ROW()</f>
        <v>46</v>
      </c>
      <c r="B46" s="303" t="s">
        <v>308</v>
      </c>
      <c r="C46" s="295" t="s">
        <v>304</v>
      </c>
      <c r="D46" s="297">
        <v>0</v>
      </c>
      <c r="E46" s="297">
        <v>-3526620</v>
      </c>
      <c r="F46" s="297">
        <f>F45+E46</f>
        <v>47609321</v>
      </c>
      <c r="G46" s="298"/>
      <c r="H46" s="304"/>
      <c r="I46" s="297"/>
      <c r="J46" s="334"/>
      <c r="K46" s="298"/>
      <c r="L46" s="291"/>
      <c r="M46" s="343"/>
      <c r="N46" s="343"/>
      <c r="O46" s="307"/>
    </row>
    <row r="47" spans="1:15" ht="12.75" hidden="1">
      <c r="A47" s="285">
        <f>ROW()</f>
        <v>47</v>
      </c>
      <c r="B47" s="303" t="s">
        <v>309</v>
      </c>
      <c r="C47" s="295" t="s">
        <v>304</v>
      </c>
      <c r="D47" s="297">
        <v>0</v>
      </c>
      <c r="E47" s="297">
        <v>-3526620</v>
      </c>
      <c r="F47" s="297">
        <f>F46+SUM(D47:E47)</f>
        <v>44082701</v>
      </c>
      <c r="G47" s="298"/>
      <c r="H47" s="304"/>
      <c r="I47" s="297"/>
      <c r="J47" s="334"/>
      <c r="K47" s="298"/>
      <c r="L47" s="302"/>
      <c r="M47" s="306"/>
      <c r="N47" s="306"/>
      <c r="O47" s="307"/>
    </row>
    <row r="48" spans="1:15" ht="12.75" hidden="1">
      <c r="A48" s="285">
        <f>ROW()</f>
        <v>48</v>
      </c>
      <c r="B48" s="303" t="s">
        <v>310</v>
      </c>
      <c r="C48" s="295" t="s">
        <v>304</v>
      </c>
      <c r="D48" s="297">
        <v>0</v>
      </c>
      <c r="E48" s="297">
        <v>-3526620</v>
      </c>
      <c r="F48" s="297">
        <f>F47+SUM(D48:E48)</f>
        <v>40556081</v>
      </c>
      <c r="G48" s="298"/>
      <c r="H48" s="304">
        <v>-3526620</v>
      </c>
      <c r="I48" s="349">
        <v>44082701.00999999</v>
      </c>
      <c r="J48" s="334">
        <v>38533</v>
      </c>
      <c r="K48" s="298"/>
      <c r="L48" s="311" t="str">
        <f>L34</f>
        <v>7.3%&amp;7.01%</v>
      </c>
      <c r="M48" s="312">
        <v>3176357.885733969</v>
      </c>
      <c r="N48" s="312">
        <f aca="true" t="shared" si="6" ref="N48:N61">+M48/(1-0.35)</f>
        <v>4886704.439590721</v>
      </c>
      <c r="O48" s="306">
        <f aca="true" t="shared" si="7" ref="O48:O61">N48/12</f>
        <v>407225.36996589345</v>
      </c>
    </row>
    <row r="49" spans="1:15" ht="12.75" hidden="1">
      <c r="A49" s="285">
        <f>ROW()</f>
        <v>49</v>
      </c>
      <c r="B49" s="313" t="s">
        <v>312</v>
      </c>
      <c r="C49" s="314" t="s">
        <v>304</v>
      </c>
      <c r="D49" s="315">
        <v>0</v>
      </c>
      <c r="E49" s="316">
        <v>-3526620</v>
      </c>
      <c r="F49" s="316">
        <f>F48+E49</f>
        <v>37029461</v>
      </c>
      <c r="G49" s="317"/>
      <c r="H49" s="318">
        <v>-3526620</v>
      </c>
      <c r="I49" s="315">
        <v>40556081.00999999</v>
      </c>
      <c r="J49" s="319">
        <v>38898</v>
      </c>
      <c r="K49" s="320"/>
      <c r="L49" s="321">
        <f>$L$18</f>
        <v>0.07010000000000001</v>
      </c>
      <c r="M49" s="322">
        <f>I49*L49</f>
        <v>2842981.2788009997</v>
      </c>
      <c r="N49" s="322">
        <f t="shared" si="6"/>
        <v>4373817.352001538</v>
      </c>
      <c r="O49" s="323">
        <f t="shared" si="7"/>
        <v>364484.7793334615</v>
      </c>
    </row>
    <row r="50" spans="1:15" ht="12.75" hidden="1">
      <c r="A50" s="285">
        <f>ROW()</f>
        <v>50</v>
      </c>
      <c r="B50" s="324"/>
      <c r="C50" s="325"/>
      <c r="D50" s="326"/>
      <c r="E50" s="327"/>
      <c r="F50" s="327"/>
      <c r="G50" s="328"/>
      <c r="H50" s="329">
        <v>-1763310</v>
      </c>
      <c r="I50" s="326">
        <v>37911116.00999999</v>
      </c>
      <c r="J50" s="330">
        <v>39082</v>
      </c>
      <c r="K50" s="328"/>
      <c r="L50" s="331">
        <f>$L$18</f>
        <v>0.07010000000000001</v>
      </c>
      <c r="M50" s="332">
        <f>I50*L50</f>
        <v>2657569.2323009996</v>
      </c>
      <c r="N50" s="332">
        <f t="shared" si="6"/>
        <v>4088568.049693845</v>
      </c>
      <c r="O50" s="333">
        <f t="shared" si="7"/>
        <v>340714.00414115377</v>
      </c>
    </row>
    <row r="51" spans="1:15" ht="12.75" hidden="1">
      <c r="A51" s="285">
        <f>ROW()</f>
        <v>51</v>
      </c>
      <c r="B51" s="303" t="s">
        <v>313</v>
      </c>
      <c r="C51" s="295" t="s">
        <v>304</v>
      </c>
      <c r="D51" s="297">
        <v>0</v>
      </c>
      <c r="E51" s="297">
        <v>-3526620</v>
      </c>
      <c r="F51" s="297">
        <v>22808103.00999999</v>
      </c>
      <c r="G51" s="298"/>
      <c r="H51" s="304">
        <f aca="true" t="shared" si="8" ref="H51:H61">+E51</f>
        <v>-3526620</v>
      </c>
      <c r="I51" s="349">
        <v>24500027.093333323</v>
      </c>
      <c r="J51" s="334">
        <v>39447</v>
      </c>
      <c r="K51" s="298"/>
      <c r="L51" s="311" t="s">
        <v>314</v>
      </c>
      <c r="M51" s="312">
        <v>1729299.1726179358</v>
      </c>
      <c r="N51" s="312">
        <f t="shared" si="6"/>
        <v>2660460.265566055</v>
      </c>
      <c r="O51" s="306">
        <f t="shared" si="7"/>
        <v>221705.0221305046</v>
      </c>
    </row>
    <row r="52" spans="1:15" ht="12.75" hidden="1">
      <c r="A52" s="285">
        <f>ROW()</f>
        <v>52</v>
      </c>
      <c r="B52" s="303" t="s">
        <v>315</v>
      </c>
      <c r="C52" s="295" t="s">
        <v>304</v>
      </c>
      <c r="D52" s="297">
        <v>0</v>
      </c>
      <c r="E52" s="297">
        <v>-3526620</v>
      </c>
      <c r="F52" s="297">
        <v>20409483.00999999</v>
      </c>
      <c r="G52" s="298"/>
      <c r="H52" s="304">
        <f t="shared" si="8"/>
        <v>-3526620</v>
      </c>
      <c r="I52" s="349">
        <v>21608793.00999999</v>
      </c>
      <c r="J52" s="334">
        <v>39813</v>
      </c>
      <c r="K52" s="298"/>
      <c r="L52" s="311" t="str">
        <f>$L$21</f>
        <v>7.06%&amp;7.00%</v>
      </c>
      <c r="M52" s="312">
        <v>1523419.907204999</v>
      </c>
      <c r="N52" s="312">
        <f t="shared" si="6"/>
        <v>2343722.934161537</v>
      </c>
      <c r="O52" s="306">
        <f t="shared" si="7"/>
        <v>195310.2445134614</v>
      </c>
    </row>
    <row r="53" spans="1:15" ht="12.75" hidden="1">
      <c r="A53" s="285">
        <f>ROW()</f>
        <v>53</v>
      </c>
      <c r="B53" s="303" t="s">
        <v>317</v>
      </c>
      <c r="C53" s="295" t="s">
        <v>304</v>
      </c>
      <c r="D53" s="297">
        <v>0</v>
      </c>
      <c r="E53" s="297">
        <v>-3526620</v>
      </c>
      <c r="F53" s="297">
        <v>18010863.00999999</v>
      </c>
      <c r="G53" s="298"/>
      <c r="H53" s="304">
        <f t="shared" si="8"/>
        <v>-3526620</v>
      </c>
      <c r="I53" s="349">
        <v>19210173.00999999</v>
      </c>
      <c r="J53" s="334">
        <v>40178</v>
      </c>
      <c r="K53" s="298"/>
      <c r="L53" s="302">
        <f>$L$22</f>
        <v>0.07</v>
      </c>
      <c r="M53" s="312">
        <v>1344712.1106999991</v>
      </c>
      <c r="N53" s="312">
        <f t="shared" si="6"/>
        <v>2068787.8626153832</v>
      </c>
      <c r="O53" s="306">
        <f t="shared" si="7"/>
        <v>172398.98855128195</v>
      </c>
    </row>
    <row r="54" spans="1:15" ht="12.75">
      <c r="A54" s="285">
        <v>30</v>
      </c>
      <c r="B54" s="303" t="s">
        <v>322</v>
      </c>
      <c r="C54" s="295" t="s">
        <v>304</v>
      </c>
      <c r="D54" s="297">
        <v>0</v>
      </c>
      <c r="E54" s="297">
        <v>-3526620</v>
      </c>
      <c r="F54" s="297">
        <v>15612243.00999999</v>
      </c>
      <c r="G54" s="298"/>
      <c r="H54" s="304">
        <f t="shared" si="8"/>
        <v>-3526620</v>
      </c>
      <c r="I54" s="349">
        <v>16811553.00999999</v>
      </c>
      <c r="J54" s="334">
        <v>40543</v>
      </c>
      <c r="K54" s="298"/>
      <c r="L54" s="345" t="s">
        <v>323</v>
      </c>
      <c r="M54" s="312">
        <v>1164464.8854762185</v>
      </c>
      <c r="N54" s="312">
        <f t="shared" si="6"/>
        <v>1791484.4391941824</v>
      </c>
      <c r="O54" s="306">
        <f t="shared" si="7"/>
        <v>149290.36993284852</v>
      </c>
    </row>
    <row r="55" spans="1:18" ht="12.75">
      <c r="A55" s="285">
        <f>A54+1</f>
        <v>31</v>
      </c>
      <c r="B55" s="303" t="s">
        <v>324</v>
      </c>
      <c r="C55" s="295" t="s">
        <v>304</v>
      </c>
      <c r="D55" s="297">
        <v>0</v>
      </c>
      <c r="E55" s="297">
        <v>-3526620</v>
      </c>
      <c r="F55" s="297">
        <v>13213623.00999999</v>
      </c>
      <c r="G55" s="298"/>
      <c r="H55" s="304">
        <f t="shared" si="8"/>
        <v>-3526620</v>
      </c>
      <c r="I55" s="349">
        <v>14412933.00999999</v>
      </c>
      <c r="J55" s="334">
        <v>40908</v>
      </c>
      <c r="K55" s="298"/>
      <c r="L55" s="311">
        <v>0.069</v>
      </c>
      <c r="M55" s="312">
        <v>994492.3776899992</v>
      </c>
      <c r="N55" s="312">
        <f t="shared" si="6"/>
        <v>1529988.2733692294</v>
      </c>
      <c r="O55" s="306">
        <f t="shared" si="7"/>
        <v>127499.02278076911</v>
      </c>
      <c r="Q55" s="346"/>
      <c r="R55" s="346"/>
    </row>
    <row r="56" spans="1:18" ht="12.75">
      <c r="A56" s="285">
        <f>A55+1</f>
        <v>32</v>
      </c>
      <c r="B56" s="303" t="s">
        <v>326</v>
      </c>
      <c r="C56" s="295" t="s">
        <v>304</v>
      </c>
      <c r="D56" s="297">
        <v>0</v>
      </c>
      <c r="E56" s="297">
        <v>-3526620</v>
      </c>
      <c r="F56" s="297">
        <v>10815003.00999999</v>
      </c>
      <c r="G56" s="298"/>
      <c r="H56" s="304">
        <f t="shared" si="8"/>
        <v>-3526620</v>
      </c>
      <c r="I56" s="349">
        <v>12014313.00999999</v>
      </c>
      <c r="J56" s="334">
        <v>41274</v>
      </c>
      <c r="K56" s="298"/>
      <c r="L56" s="345" t="s">
        <v>327</v>
      </c>
      <c r="M56" s="312">
        <v>860438.7650353555</v>
      </c>
      <c r="N56" s="312">
        <f t="shared" si="6"/>
        <v>1323751.946208239</v>
      </c>
      <c r="O56" s="306">
        <f t="shared" si="7"/>
        <v>110312.66218401992</v>
      </c>
      <c r="Q56" s="346"/>
      <c r="R56" s="346"/>
    </row>
    <row r="57" spans="1:18" ht="12.75">
      <c r="A57" s="285">
        <f>A56+1</f>
        <v>33</v>
      </c>
      <c r="B57" s="303" t="s">
        <v>328</v>
      </c>
      <c r="C57" s="295" t="s">
        <v>304</v>
      </c>
      <c r="D57" s="297">
        <v>0</v>
      </c>
      <c r="E57" s="297">
        <v>-3526620</v>
      </c>
      <c r="F57" s="297">
        <v>8416383.00999999</v>
      </c>
      <c r="G57" s="298"/>
      <c r="H57" s="304">
        <f t="shared" si="8"/>
        <v>-3526620</v>
      </c>
      <c r="I57" s="349">
        <v>9615693.00999999</v>
      </c>
      <c r="J57" s="334">
        <v>41639</v>
      </c>
      <c r="K57" s="298"/>
      <c r="L57" s="311">
        <f>O3</f>
        <v>0.0729</v>
      </c>
      <c r="M57" s="312">
        <f>I57*L57</f>
        <v>700984.0204289993</v>
      </c>
      <c r="N57" s="312">
        <f t="shared" si="6"/>
        <v>1078436.9545061528</v>
      </c>
      <c r="O57" s="306">
        <f t="shared" si="7"/>
        <v>89869.74620884606</v>
      </c>
      <c r="Q57" s="346"/>
      <c r="R57" s="346"/>
    </row>
    <row r="58" spans="1:15" ht="12.75" hidden="1">
      <c r="A58" s="285">
        <f>ROW()</f>
        <v>58</v>
      </c>
      <c r="B58" s="303" t="s">
        <v>329</v>
      </c>
      <c r="C58" s="295" t="s">
        <v>304</v>
      </c>
      <c r="D58" s="297">
        <v>0</v>
      </c>
      <c r="E58" s="297">
        <v>-3526620</v>
      </c>
      <c r="F58" s="297">
        <v>6017763.00999999</v>
      </c>
      <c r="G58" s="298"/>
      <c r="H58" s="304">
        <f t="shared" si="8"/>
        <v>-3526620</v>
      </c>
      <c r="I58" s="349">
        <v>7217073.00999999</v>
      </c>
      <c r="J58" s="334">
        <v>42004</v>
      </c>
      <c r="K58" s="298"/>
      <c r="L58" s="302">
        <f>$O$2</f>
        <v>0.069</v>
      </c>
      <c r="M58" s="312">
        <f>I58*L58</f>
        <v>497978.0376899994</v>
      </c>
      <c r="N58" s="312">
        <f t="shared" si="6"/>
        <v>766120.0579846144</v>
      </c>
      <c r="O58" s="306">
        <f t="shared" si="7"/>
        <v>63843.338165384535</v>
      </c>
    </row>
    <row r="59" spans="1:15" ht="12.75" hidden="1">
      <c r="A59" s="285">
        <f>ROW()</f>
        <v>59</v>
      </c>
      <c r="B59" s="303" t="s">
        <v>330</v>
      </c>
      <c r="C59" s="295" t="s">
        <v>304</v>
      </c>
      <c r="D59" s="297">
        <v>0</v>
      </c>
      <c r="E59" s="297">
        <v>-3526620</v>
      </c>
      <c r="F59" s="297">
        <v>3619143.0099999905</v>
      </c>
      <c r="G59" s="298"/>
      <c r="H59" s="304">
        <f t="shared" si="8"/>
        <v>-3526620</v>
      </c>
      <c r="I59" s="349">
        <v>4818453.00999999</v>
      </c>
      <c r="J59" s="334">
        <v>42369</v>
      </c>
      <c r="K59" s="298"/>
      <c r="L59" s="302">
        <f>$O$2</f>
        <v>0.069</v>
      </c>
      <c r="M59" s="312">
        <f>I59*L59</f>
        <v>332473.25768999936</v>
      </c>
      <c r="N59" s="312">
        <f t="shared" si="6"/>
        <v>511497.31952307594</v>
      </c>
      <c r="O59" s="306">
        <f t="shared" si="7"/>
        <v>42624.776626923</v>
      </c>
    </row>
    <row r="60" spans="1:15" ht="12.75" hidden="1">
      <c r="A60" s="285">
        <f>ROW()</f>
        <v>60</v>
      </c>
      <c r="B60" s="303" t="s">
        <v>331</v>
      </c>
      <c r="C60" s="295" t="s">
        <v>304</v>
      </c>
      <c r="D60" s="297">
        <v>0</v>
      </c>
      <c r="E60" s="297">
        <v>-3526620</v>
      </c>
      <c r="F60" s="297">
        <v>1220523.0099999905</v>
      </c>
      <c r="G60" s="298"/>
      <c r="H60" s="304">
        <f t="shared" si="8"/>
        <v>-3526620</v>
      </c>
      <c r="I60" s="349">
        <v>2419833.0099999905</v>
      </c>
      <c r="J60" s="334">
        <v>42735</v>
      </c>
      <c r="K60" s="298"/>
      <c r="L60" s="302">
        <f>$O$2</f>
        <v>0.069</v>
      </c>
      <c r="M60" s="312">
        <f>I60*L60</f>
        <v>166968.47768999936</v>
      </c>
      <c r="N60" s="312">
        <f t="shared" si="6"/>
        <v>256874.58106153746</v>
      </c>
      <c r="O60" s="306">
        <f t="shared" si="7"/>
        <v>21406.215088461457</v>
      </c>
    </row>
    <row r="61" spans="1:15" ht="12.75" hidden="1">
      <c r="A61" s="285">
        <f>ROW()</f>
        <v>61</v>
      </c>
      <c r="B61" s="303" t="s">
        <v>332</v>
      </c>
      <c r="C61" s="295" t="s">
        <v>304</v>
      </c>
      <c r="D61" s="297">
        <v>0</v>
      </c>
      <c r="E61" s="297">
        <v>-1763261</v>
      </c>
      <c r="F61" s="297">
        <v>0.009999990463256836</v>
      </c>
      <c r="G61" s="298"/>
      <c r="H61" s="304">
        <f t="shared" si="8"/>
        <v>-1763261</v>
      </c>
      <c r="I61" s="349">
        <v>309550.13499999046</v>
      </c>
      <c r="J61" s="334">
        <v>43100</v>
      </c>
      <c r="K61" s="298"/>
      <c r="L61" s="302">
        <f>$O$2</f>
        <v>0.069</v>
      </c>
      <c r="M61" s="312">
        <f>I61*L61</f>
        <v>21358.959314999345</v>
      </c>
      <c r="N61" s="312">
        <f t="shared" si="6"/>
        <v>32859.9374076913</v>
      </c>
      <c r="O61" s="306">
        <f t="shared" si="7"/>
        <v>2738.3281173076084</v>
      </c>
    </row>
    <row r="62" spans="1:15" ht="12.75">
      <c r="A62" s="335">
        <v>34</v>
      </c>
      <c r="B62" s="350"/>
      <c r="C62" s="337"/>
      <c r="D62" s="315"/>
      <c r="E62" s="315"/>
      <c r="F62" s="315"/>
      <c r="G62" s="317"/>
      <c r="H62" s="338"/>
      <c r="I62" s="315"/>
      <c r="J62" s="339"/>
      <c r="K62" s="317"/>
      <c r="L62" s="321"/>
      <c r="M62" s="347"/>
      <c r="N62" s="347"/>
      <c r="O62" s="347"/>
    </row>
    <row r="63" spans="1:15" ht="12.75">
      <c r="A63" s="285">
        <v>35</v>
      </c>
      <c r="B63" s="293" t="s">
        <v>333</v>
      </c>
      <c r="C63" s="295"/>
      <c r="D63" s="343"/>
      <c r="E63" s="297"/>
      <c r="F63" s="297"/>
      <c r="G63" s="298"/>
      <c r="H63" s="342" t="s">
        <v>334</v>
      </c>
      <c r="I63" s="297"/>
      <c r="J63" s="334"/>
      <c r="K63" s="351"/>
      <c r="L63" s="351"/>
      <c r="M63" s="306"/>
      <c r="N63" s="306"/>
      <c r="O63" s="307"/>
    </row>
    <row r="64" spans="1:15" ht="12.75" hidden="1">
      <c r="A64" s="285">
        <f>ROW()</f>
        <v>64</v>
      </c>
      <c r="B64" s="285" t="s">
        <v>303</v>
      </c>
      <c r="C64" s="295" t="s">
        <v>304</v>
      </c>
      <c r="D64" s="297">
        <v>0</v>
      </c>
      <c r="E64" s="297"/>
      <c r="F64" s="297">
        <v>20545452.37</v>
      </c>
      <c r="G64" s="298"/>
      <c r="H64" s="304"/>
      <c r="I64" s="297"/>
      <c r="J64" s="334"/>
      <c r="K64" s="298"/>
      <c r="L64" s="291"/>
      <c r="M64" s="306"/>
      <c r="N64" s="306"/>
      <c r="O64" s="307"/>
    </row>
    <row r="65" spans="1:15" ht="12.75" hidden="1">
      <c r="A65" s="285">
        <f>ROW()</f>
        <v>65</v>
      </c>
      <c r="B65" s="303" t="s">
        <v>309</v>
      </c>
      <c r="C65" s="295" t="s">
        <v>304</v>
      </c>
      <c r="D65" s="297"/>
      <c r="E65" s="297"/>
      <c r="F65" s="297">
        <v>15194767.809999999</v>
      </c>
      <c r="G65" s="298"/>
      <c r="H65" s="304"/>
      <c r="I65" s="297"/>
      <c r="J65" s="334"/>
      <c r="K65" s="298"/>
      <c r="L65" s="291"/>
      <c r="M65" s="306"/>
      <c r="N65" s="306"/>
      <c r="O65" s="307"/>
    </row>
    <row r="66" spans="1:15" ht="12.75" hidden="1">
      <c r="A66" s="285">
        <f>ROW()</f>
        <v>66</v>
      </c>
      <c r="B66" s="303" t="s">
        <v>310</v>
      </c>
      <c r="C66" s="295" t="s">
        <v>304</v>
      </c>
      <c r="D66" s="297">
        <v>0</v>
      </c>
      <c r="E66" s="297"/>
      <c r="F66" s="297">
        <v>17134558.470000003</v>
      </c>
      <c r="G66" s="298"/>
      <c r="H66" s="352">
        <f>E65/12*6+E66/12*6</f>
        <v>0</v>
      </c>
      <c r="I66" s="349">
        <v>15867232.399583332</v>
      </c>
      <c r="J66" s="334">
        <v>38533</v>
      </c>
      <c r="K66" s="298"/>
      <c r="L66" s="311" t="str">
        <f>L34</f>
        <v>7.3%&amp;7.01%</v>
      </c>
      <c r="M66" s="312">
        <v>362637.9889152994</v>
      </c>
      <c r="N66" s="312">
        <f aca="true" t="shared" si="9" ref="N66:N75">+M66/(1-0.35)</f>
        <v>557904.5983312299</v>
      </c>
      <c r="O66" s="306">
        <f aca="true" t="shared" si="10" ref="O66:O75">N66/12</f>
        <v>46492.049860935826</v>
      </c>
    </row>
    <row r="67" spans="1:15" ht="12.75" hidden="1">
      <c r="A67" s="285">
        <f>ROW()</f>
        <v>67</v>
      </c>
      <c r="B67" s="313" t="s">
        <v>312</v>
      </c>
      <c r="C67" s="314" t="s">
        <v>304</v>
      </c>
      <c r="D67" s="315">
        <v>0</v>
      </c>
      <c r="E67" s="316"/>
      <c r="F67" s="316">
        <v>21307240.720000003</v>
      </c>
      <c r="G67" s="317"/>
      <c r="H67" s="352">
        <f>E66/12*6+E67/12*6</f>
        <v>0</v>
      </c>
      <c r="I67" s="315">
        <v>16727249.060416667</v>
      </c>
      <c r="J67" s="319">
        <v>38898</v>
      </c>
      <c r="K67" s="320"/>
      <c r="L67" s="321">
        <f>$L$18</f>
        <v>0.07010000000000001</v>
      </c>
      <c r="M67" s="322">
        <f>I67*L67</f>
        <v>1172580.1591352085</v>
      </c>
      <c r="N67" s="322">
        <f t="shared" si="9"/>
        <v>1803969.4755926284</v>
      </c>
      <c r="O67" s="323">
        <f t="shared" si="10"/>
        <v>150330.78963271904</v>
      </c>
    </row>
    <row r="68" spans="1:15" ht="12.75" hidden="1">
      <c r="A68" s="285">
        <f>ROW()</f>
        <v>68</v>
      </c>
      <c r="B68" s="324"/>
      <c r="C68" s="325"/>
      <c r="D68" s="326"/>
      <c r="E68" s="327"/>
      <c r="F68" s="327"/>
      <c r="G68" s="328"/>
      <c r="H68" s="352">
        <f>E67/12*6+E68/12*6</f>
        <v>0</v>
      </c>
      <c r="I68" s="326">
        <v>19952478.540833335</v>
      </c>
      <c r="J68" s="330">
        <v>39082</v>
      </c>
      <c r="K68" s="328"/>
      <c r="L68" s="331">
        <f>$L$18</f>
        <v>0.07010000000000001</v>
      </c>
      <c r="M68" s="332">
        <f>I68*L68</f>
        <v>1398668.745712417</v>
      </c>
      <c r="N68" s="332">
        <f t="shared" si="9"/>
        <v>2151798.0703267953</v>
      </c>
      <c r="O68" s="333">
        <f t="shared" si="10"/>
        <v>179316.50586056628</v>
      </c>
    </row>
    <row r="69" spans="1:15" ht="12.75" hidden="1">
      <c r="A69" s="285">
        <f>ROW()</f>
        <v>69</v>
      </c>
      <c r="B69" s="303" t="s">
        <v>313</v>
      </c>
      <c r="C69" s="295" t="s">
        <v>304</v>
      </c>
      <c r="D69" s="297">
        <v>0</v>
      </c>
      <c r="E69" s="297"/>
      <c r="F69" s="316">
        <v>23801058.669999998</v>
      </c>
      <c r="G69" s="298"/>
      <c r="H69" s="352">
        <f>E67/12*6+E69/12*6</f>
        <v>0</v>
      </c>
      <c r="I69" s="349">
        <v>23235098.006249998</v>
      </c>
      <c r="J69" s="334">
        <v>39447</v>
      </c>
      <c r="K69" s="298"/>
      <c r="L69" s="311" t="s">
        <v>314</v>
      </c>
      <c r="M69" s="312">
        <v>1640015.972424709</v>
      </c>
      <c r="N69" s="312">
        <f t="shared" si="9"/>
        <v>2523101.4960380136</v>
      </c>
      <c r="O69" s="306">
        <f t="shared" si="10"/>
        <v>210258.4580031678</v>
      </c>
    </row>
    <row r="70" spans="1:15" ht="12.75" hidden="1">
      <c r="A70" s="285">
        <f>ROW()</f>
        <v>70</v>
      </c>
      <c r="B70" s="303" t="s">
        <v>315</v>
      </c>
      <c r="C70" s="295" t="s">
        <v>304</v>
      </c>
      <c r="D70" s="297">
        <v>0</v>
      </c>
      <c r="E70" s="297"/>
      <c r="F70" s="353">
        <v>19459946.74</v>
      </c>
      <c r="G70" s="298"/>
      <c r="H70" s="352">
        <f aca="true" t="shared" si="11" ref="H70:H75">E69/12*6+E70/12*6</f>
        <v>0</v>
      </c>
      <c r="I70" s="349">
        <v>19914187.412916664</v>
      </c>
      <c r="J70" s="334">
        <v>39813</v>
      </c>
      <c r="K70" s="298"/>
      <c r="L70" s="311" t="str">
        <f>$L$21</f>
        <v>7.06%&amp;7.00%</v>
      </c>
      <c r="M70" s="312">
        <v>1403950.2126106247</v>
      </c>
      <c r="N70" s="312">
        <f t="shared" si="9"/>
        <v>2159923.4040163457</v>
      </c>
      <c r="O70" s="306">
        <f t="shared" si="10"/>
        <v>179993.61700136214</v>
      </c>
    </row>
    <row r="71" spans="1:15" ht="12.75" hidden="1">
      <c r="A71" s="285">
        <f>ROW()</f>
        <v>71</v>
      </c>
      <c r="B71" s="303" t="s">
        <v>317</v>
      </c>
      <c r="C71" s="295" t="s">
        <v>304</v>
      </c>
      <c r="D71" s="297">
        <v>0</v>
      </c>
      <c r="E71" s="297"/>
      <c r="F71" s="353">
        <v>23989687.79</v>
      </c>
      <c r="G71" s="298"/>
      <c r="H71" s="352">
        <f t="shared" si="11"/>
        <v>0</v>
      </c>
      <c r="I71" s="349">
        <v>19705548.951249998</v>
      </c>
      <c r="J71" s="334">
        <v>40178</v>
      </c>
      <c r="K71" s="298"/>
      <c r="L71" s="302">
        <f>$L$22</f>
        <v>0.07</v>
      </c>
      <c r="M71" s="312">
        <v>1379388.4265874997</v>
      </c>
      <c r="N71" s="312">
        <f t="shared" si="9"/>
        <v>2122136.040903846</v>
      </c>
      <c r="O71" s="306">
        <f t="shared" si="10"/>
        <v>176844.6700753205</v>
      </c>
    </row>
    <row r="72" spans="1:15" ht="12.75">
      <c r="A72" s="285">
        <v>36</v>
      </c>
      <c r="B72" s="303" t="s">
        <v>322</v>
      </c>
      <c r="C72" s="295" t="s">
        <v>304</v>
      </c>
      <c r="D72" s="297">
        <v>0</v>
      </c>
      <c r="E72" s="297"/>
      <c r="F72" s="353">
        <v>24865721.81</v>
      </c>
      <c r="G72" s="298"/>
      <c r="H72" s="352">
        <f t="shared" si="11"/>
        <v>0</v>
      </c>
      <c r="I72" s="349">
        <v>24579160.11916666</v>
      </c>
      <c r="J72" s="334">
        <v>40543</v>
      </c>
      <c r="K72" s="298"/>
      <c r="L72" s="345" t="s">
        <v>323</v>
      </c>
      <c r="M72" s="312">
        <v>1702494.0441993738</v>
      </c>
      <c r="N72" s="312">
        <f t="shared" si="9"/>
        <v>2619221.606460575</v>
      </c>
      <c r="O72" s="306">
        <f t="shared" si="10"/>
        <v>218268.46720504793</v>
      </c>
    </row>
    <row r="73" spans="1:18" ht="12.75">
      <c r="A73" s="285">
        <v>37</v>
      </c>
      <c r="B73" s="303" t="s">
        <v>324</v>
      </c>
      <c r="C73" s="295" t="s">
        <v>304</v>
      </c>
      <c r="D73" s="297">
        <v>0</v>
      </c>
      <c r="E73" s="297"/>
      <c r="F73" s="353">
        <v>24941806.739999995</v>
      </c>
      <c r="G73" s="298"/>
      <c r="H73" s="352">
        <f t="shared" si="11"/>
        <v>0</v>
      </c>
      <c r="I73" s="349">
        <v>24930932.355416667</v>
      </c>
      <c r="J73" s="334">
        <v>40908</v>
      </c>
      <c r="K73" s="298"/>
      <c r="L73" s="311">
        <v>0.069</v>
      </c>
      <c r="M73" s="312">
        <v>1720234.33252375</v>
      </c>
      <c r="N73" s="312">
        <f t="shared" si="9"/>
        <v>2646514.357728846</v>
      </c>
      <c r="O73" s="306">
        <f t="shared" si="10"/>
        <v>220542.8631440705</v>
      </c>
      <c r="Q73" s="346"/>
      <c r="R73" s="346"/>
    </row>
    <row r="74" spans="1:18" ht="12.75">
      <c r="A74" s="285">
        <v>38</v>
      </c>
      <c r="B74" s="303" t="s">
        <v>326</v>
      </c>
      <c r="C74" s="295" t="s">
        <v>304</v>
      </c>
      <c r="D74" s="297"/>
      <c r="E74" s="297"/>
      <c r="F74" s="353">
        <v>24941806.739999995</v>
      </c>
      <c r="G74" s="298"/>
      <c r="H74" s="352">
        <f t="shared" si="11"/>
        <v>0</v>
      </c>
      <c r="I74" s="349">
        <v>24941806.74</v>
      </c>
      <c r="J74" s="334">
        <v>41274</v>
      </c>
      <c r="K74" s="298"/>
      <c r="L74" s="345" t="s">
        <v>327</v>
      </c>
      <c r="M74" s="312">
        <v>1786277.5317451237</v>
      </c>
      <c r="N74" s="312">
        <f t="shared" si="9"/>
        <v>2748119.2796078823</v>
      </c>
      <c r="O74" s="306">
        <f t="shared" si="10"/>
        <v>229009.93996732353</v>
      </c>
      <c r="Q74" s="346"/>
      <c r="R74" s="346"/>
    </row>
    <row r="75" spans="1:18" ht="12.75">
      <c r="A75" s="285">
        <v>39</v>
      </c>
      <c r="B75" s="303" t="s">
        <v>328</v>
      </c>
      <c r="C75" s="295" t="s">
        <v>304</v>
      </c>
      <c r="D75" s="297"/>
      <c r="E75" s="297"/>
      <c r="F75" s="353">
        <v>24941806.739999995</v>
      </c>
      <c r="G75" s="298"/>
      <c r="H75" s="352">
        <f t="shared" si="11"/>
        <v>0</v>
      </c>
      <c r="I75" s="349">
        <v>24941806.74</v>
      </c>
      <c r="J75" s="334">
        <v>41639</v>
      </c>
      <c r="K75" s="298"/>
      <c r="L75" s="311">
        <f>$O$3</f>
        <v>0.0729</v>
      </c>
      <c r="M75" s="312">
        <f>I75*L75</f>
        <v>1818257.711346</v>
      </c>
      <c r="N75" s="312">
        <f t="shared" si="9"/>
        <v>2797319.555916923</v>
      </c>
      <c r="O75" s="306">
        <f t="shared" si="10"/>
        <v>233109.96299307692</v>
      </c>
      <c r="Q75" s="346"/>
      <c r="R75" s="346"/>
    </row>
    <row r="76" spans="1:15" ht="12.75">
      <c r="A76" s="335">
        <v>40</v>
      </c>
      <c r="B76" s="336"/>
      <c r="C76" s="337"/>
      <c r="D76" s="315"/>
      <c r="E76" s="315"/>
      <c r="F76" s="315"/>
      <c r="G76" s="317"/>
      <c r="H76" s="338"/>
      <c r="I76" s="315"/>
      <c r="J76" s="339"/>
      <c r="K76" s="354"/>
      <c r="L76" s="354"/>
      <c r="M76" s="347"/>
      <c r="N76" s="347"/>
      <c r="O76" s="347"/>
    </row>
    <row r="77" spans="1:15" ht="12.75">
      <c r="A77" s="285">
        <v>41</v>
      </c>
      <c r="B77" s="293" t="s">
        <v>335</v>
      </c>
      <c r="C77" s="295"/>
      <c r="D77" s="297"/>
      <c r="E77" s="297"/>
      <c r="F77" s="297"/>
      <c r="G77" s="298"/>
      <c r="H77" s="342" t="s">
        <v>336</v>
      </c>
      <c r="I77" s="297"/>
      <c r="J77" s="334"/>
      <c r="K77" s="351"/>
      <c r="L77" s="351"/>
      <c r="M77" s="306"/>
      <c r="N77" s="306"/>
      <c r="O77" s="307"/>
    </row>
    <row r="78" spans="1:15" ht="12.75" customHeight="1">
      <c r="A78" s="285">
        <v>42</v>
      </c>
      <c r="B78" s="303" t="s">
        <v>303</v>
      </c>
      <c r="C78" s="295" t="s">
        <v>304</v>
      </c>
      <c r="D78" s="297"/>
      <c r="E78" s="297"/>
      <c r="F78" s="297"/>
      <c r="G78" s="298"/>
      <c r="H78" s="342"/>
      <c r="I78" s="297"/>
      <c r="J78" s="301"/>
      <c r="K78" s="298"/>
      <c r="L78" s="298"/>
      <c r="M78" s="306"/>
      <c r="N78" s="306"/>
      <c r="O78" s="307"/>
    </row>
    <row r="79" spans="1:15" ht="12.75" customHeight="1" hidden="1">
      <c r="A79" s="285">
        <f>ROW()</f>
        <v>79</v>
      </c>
      <c r="B79" s="303" t="s">
        <v>309</v>
      </c>
      <c r="C79" s="295" t="s">
        <v>304</v>
      </c>
      <c r="D79" s="297">
        <v>0</v>
      </c>
      <c r="E79" s="297">
        <v>-1494701.7220709994</v>
      </c>
      <c r="F79" s="297">
        <v>42052182.327929</v>
      </c>
      <c r="G79" s="298"/>
      <c r="H79" s="304"/>
      <c r="I79" s="297"/>
      <c r="J79" s="301"/>
      <c r="K79" s="298"/>
      <c r="L79" s="302"/>
      <c r="M79" s="306"/>
      <c r="N79" s="306"/>
      <c r="O79" s="307"/>
    </row>
    <row r="80" spans="1:15" ht="12.75" customHeight="1" hidden="1">
      <c r="A80" s="285">
        <f>ROW()</f>
        <v>80</v>
      </c>
      <c r="B80" s="303" t="s">
        <v>310</v>
      </c>
      <c r="C80" s="295" t="s">
        <v>304</v>
      </c>
      <c r="D80" s="297">
        <v>0</v>
      </c>
      <c r="E80" s="297">
        <v>-1494701.7220709994</v>
      </c>
      <c r="F80" s="297">
        <v>40832249.73585799</v>
      </c>
      <c r="G80" s="298"/>
      <c r="H80" s="304">
        <f>E79/12*6+E80/12*6</f>
        <v>-1494701.7220709994</v>
      </c>
      <c r="I80" s="349">
        <v>42108376.58209566</v>
      </c>
      <c r="J80" s="334">
        <v>38533</v>
      </c>
      <c r="K80" s="298"/>
      <c r="L80" s="311" t="str">
        <f>L66</f>
        <v>7.3%&amp;7.01%</v>
      </c>
      <c r="M80" s="312">
        <v>3034098.8856752254</v>
      </c>
      <c r="N80" s="312">
        <f aca="true" t="shared" si="12" ref="N80:N89">+M80/(1-0.35)</f>
        <v>4667844.439500347</v>
      </c>
      <c r="O80" s="306">
        <f aca="true" t="shared" si="13" ref="O80:O89">N80/12</f>
        <v>388987.0366250289</v>
      </c>
    </row>
    <row r="81" spans="1:15" ht="12.75" customHeight="1" hidden="1">
      <c r="A81" s="285">
        <f>ROW()</f>
        <v>81</v>
      </c>
      <c r="B81" s="313" t="s">
        <v>312</v>
      </c>
      <c r="C81" s="314" t="s">
        <v>304</v>
      </c>
      <c r="D81" s="315">
        <v>0</v>
      </c>
      <c r="E81" s="316">
        <v>-1494702.4137327932</v>
      </c>
      <c r="F81" s="316">
        <v>39625899.6021252</v>
      </c>
      <c r="G81" s="317"/>
      <c r="H81" s="318">
        <f>E80/12*6+E81/12*6</f>
        <v>-1494702.0679018963</v>
      </c>
      <c r="I81" s="315">
        <v>40832156.43440027</v>
      </c>
      <c r="J81" s="319">
        <v>38898</v>
      </c>
      <c r="K81" s="320"/>
      <c r="L81" s="321">
        <f>$L$18</f>
        <v>0.07010000000000001</v>
      </c>
      <c r="M81" s="322">
        <f>I81*L81</f>
        <v>2862334.166051459</v>
      </c>
      <c r="N81" s="322">
        <f t="shared" si="12"/>
        <v>4403591.024694553</v>
      </c>
      <c r="O81" s="323">
        <f t="shared" si="13"/>
        <v>366965.91872454603</v>
      </c>
    </row>
    <row r="82" spans="1:15" ht="12.75" customHeight="1" hidden="1">
      <c r="A82" s="285">
        <f>ROW()</f>
        <v>82</v>
      </c>
      <c r="B82" s="324"/>
      <c r="C82" s="325"/>
      <c r="D82" s="326"/>
      <c r="E82" s="327"/>
      <c r="F82" s="327"/>
      <c r="G82" s="328"/>
      <c r="H82" s="329">
        <f>E81/12*6</f>
        <v>-747351.2068663966</v>
      </c>
      <c r="I82" s="326">
        <v>39923951.53264295</v>
      </c>
      <c r="J82" s="330">
        <v>39082</v>
      </c>
      <c r="K82" s="328"/>
      <c r="L82" s="331">
        <f>$L$18</f>
        <v>0.07010000000000001</v>
      </c>
      <c r="M82" s="332">
        <f>I82*L82</f>
        <v>2798669.0024382714</v>
      </c>
      <c r="N82" s="332">
        <f t="shared" si="12"/>
        <v>4305644.619135802</v>
      </c>
      <c r="O82" s="333">
        <f t="shared" si="13"/>
        <v>358803.7182613168</v>
      </c>
    </row>
    <row r="83" spans="1:15" ht="12.75" hidden="1">
      <c r="A83" s="285">
        <f>ROW()</f>
        <v>83</v>
      </c>
      <c r="B83" s="303" t="s">
        <v>313</v>
      </c>
      <c r="C83" s="295" t="s">
        <v>304</v>
      </c>
      <c r="D83" s="297">
        <v>0</v>
      </c>
      <c r="E83" s="297">
        <v>-1494701.7220710218</v>
      </c>
      <c r="F83" s="297">
        <v>36050026.880054176</v>
      </c>
      <c r="G83" s="298"/>
      <c r="H83" s="304">
        <f>E81/12*6+E83/12*6</f>
        <v>-1494702.0679019075</v>
      </c>
      <c r="I83" s="349">
        <v>37628503.36608969</v>
      </c>
      <c r="J83" s="334">
        <v>39447</v>
      </c>
      <c r="K83" s="298"/>
      <c r="L83" s="311" t="s">
        <v>314</v>
      </c>
      <c r="M83" s="312">
        <v>2655953.786905668</v>
      </c>
      <c r="N83" s="312">
        <f t="shared" si="12"/>
        <v>4086082.7490856433</v>
      </c>
      <c r="O83" s="306">
        <f t="shared" si="13"/>
        <v>340506.8957571369</v>
      </c>
    </row>
    <row r="84" spans="1:15" ht="12.75" hidden="1">
      <c r="A84" s="285">
        <f>ROW()</f>
        <v>84</v>
      </c>
      <c r="B84" s="303" t="s">
        <v>315</v>
      </c>
      <c r="C84" s="295" t="s">
        <v>304</v>
      </c>
      <c r="D84" s="297">
        <v>0</v>
      </c>
      <c r="E84" s="297">
        <v>-1494701.7220710218</v>
      </c>
      <c r="F84" s="297">
        <v>34112846.26798315</v>
      </c>
      <c r="G84" s="298"/>
      <c r="H84" s="304">
        <f>E83/12*6+E84/12*6</f>
        <v>-1494701.7220710218</v>
      </c>
      <c r="I84" s="349">
        <v>35041392.49943533</v>
      </c>
      <c r="J84" s="334">
        <v>39813</v>
      </c>
      <c r="K84" s="298"/>
      <c r="L84" s="311" t="str">
        <f>$L$21</f>
        <v>7.06%&amp;7.00%</v>
      </c>
      <c r="M84" s="312">
        <v>2470418.1712101903</v>
      </c>
      <c r="N84" s="312">
        <f t="shared" si="12"/>
        <v>3800643.3403233695</v>
      </c>
      <c r="O84" s="306">
        <f t="shared" si="13"/>
        <v>316720.2783602808</v>
      </c>
    </row>
    <row r="85" spans="1:15" ht="12.75" hidden="1">
      <c r="A85" s="285">
        <f>ROW()</f>
        <v>85</v>
      </c>
      <c r="B85" s="355" t="s">
        <v>317</v>
      </c>
      <c r="C85" s="295" t="s">
        <v>304</v>
      </c>
      <c r="D85" s="297">
        <v>0</v>
      </c>
      <c r="E85" s="297">
        <v>-1494701.7220710255</v>
      </c>
      <c r="F85" s="297">
        <v>38437612.755912125</v>
      </c>
      <c r="G85" s="298"/>
      <c r="H85" s="304">
        <f>+E85</f>
        <v>-1494701.7220710255</v>
      </c>
      <c r="I85" s="349">
        <v>33611068.249030985</v>
      </c>
      <c r="J85" s="334">
        <v>40178</v>
      </c>
      <c r="K85" s="298"/>
      <c r="L85" s="302">
        <f>$L$22</f>
        <v>0.07</v>
      </c>
      <c r="M85" s="312">
        <v>2352774.7774321693</v>
      </c>
      <c r="N85" s="312">
        <f t="shared" si="12"/>
        <v>3619653.503741799</v>
      </c>
      <c r="O85" s="306">
        <f t="shared" si="13"/>
        <v>301637.79197848326</v>
      </c>
    </row>
    <row r="86" spans="1:15" ht="12.75">
      <c r="A86" s="285">
        <v>43</v>
      </c>
      <c r="B86" s="303" t="s">
        <v>322</v>
      </c>
      <c r="C86" s="295" t="s">
        <v>304</v>
      </c>
      <c r="D86" s="297">
        <v>0</v>
      </c>
      <c r="E86" s="297">
        <v>-1494701.982071016</v>
      </c>
      <c r="F86" s="297">
        <v>37305563.86384112</v>
      </c>
      <c r="G86" s="356"/>
      <c r="H86" s="304">
        <f>+E86</f>
        <v>-1494701.982071016</v>
      </c>
      <c r="I86" s="349">
        <v>37977362.051959954</v>
      </c>
      <c r="J86" s="334">
        <v>40543</v>
      </c>
      <c r="K86" s="357"/>
      <c r="L86" s="345" t="s">
        <v>323</v>
      </c>
      <c r="M86" s="312">
        <v>2630530.5956100053</v>
      </c>
      <c r="N86" s="312">
        <f t="shared" si="12"/>
        <v>4046970.147092316</v>
      </c>
      <c r="O86" s="306">
        <f t="shared" si="13"/>
        <v>337247.512257693</v>
      </c>
    </row>
    <row r="87" spans="1:18" ht="12.75">
      <c r="A87" s="285">
        <f>A86+1</f>
        <v>44</v>
      </c>
      <c r="B87" s="303" t="s">
        <v>324</v>
      </c>
      <c r="C87" s="295" t="s">
        <v>304</v>
      </c>
      <c r="D87" s="297"/>
      <c r="E87" s="297">
        <v>-1494701.722071018</v>
      </c>
      <c r="F87" s="297">
        <v>35810862.141770095</v>
      </c>
      <c r="G87" s="298"/>
      <c r="H87" s="304">
        <f>+E87</f>
        <v>-1494701.722071018</v>
      </c>
      <c r="I87" s="349">
        <v>36558213.0028056</v>
      </c>
      <c r="J87" s="334">
        <v>40908</v>
      </c>
      <c r="K87" s="357"/>
      <c r="L87" s="311">
        <v>0.069</v>
      </c>
      <c r="M87" s="312">
        <v>2522516.6971935863</v>
      </c>
      <c r="N87" s="312">
        <f t="shared" si="12"/>
        <v>3880794.9187593632</v>
      </c>
      <c r="O87" s="306">
        <f t="shared" si="13"/>
        <v>323399.57656328025</v>
      </c>
      <c r="Q87" s="346"/>
      <c r="R87" s="346"/>
    </row>
    <row r="88" spans="1:18" ht="12.75">
      <c r="A88" s="285">
        <f>A87+1</f>
        <v>45</v>
      </c>
      <c r="B88" s="303" t="s">
        <v>326</v>
      </c>
      <c r="C88" s="295" t="s">
        <v>304</v>
      </c>
      <c r="D88" s="297"/>
      <c r="E88" s="297">
        <v>-1494701.7220710255</v>
      </c>
      <c r="F88" s="297">
        <v>34316160.41969907</v>
      </c>
      <c r="G88" s="297"/>
      <c r="H88" s="304">
        <f>+E88</f>
        <v>-1494701.7220710255</v>
      </c>
      <c r="I88" s="349">
        <v>35063511.28073458</v>
      </c>
      <c r="J88" s="334">
        <v>41274</v>
      </c>
      <c r="K88" s="298"/>
      <c r="L88" s="345" t="s">
        <v>327</v>
      </c>
      <c r="M88" s="312">
        <v>2511171.826394636</v>
      </c>
      <c r="N88" s="312">
        <f t="shared" si="12"/>
        <v>3863341.271376363</v>
      </c>
      <c r="O88" s="306">
        <f t="shared" si="13"/>
        <v>321945.10594803025</v>
      </c>
      <c r="Q88" s="346"/>
      <c r="R88" s="346"/>
    </row>
    <row r="89" spans="1:18" ht="12.75">
      <c r="A89" s="285">
        <f>A88+1</f>
        <v>46</v>
      </c>
      <c r="B89" s="303" t="s">
        <v>328</v>
      </c>
      <c r="C89" s="295" t="s">
        <v>304</v>
      </c>
      <c r="D89" s="297"/>
      <c r="E89" s="297">
        <v>-1494701.722071018</v>
      </c>
      <c r="F89" s="297">
        <v>32821458.69762805</v>
      </c>
      <c r="G89" s="297"/>
      <c r="H89" s="304">
        <f>+E89</f>
        <v>-1494701.722071018</v>
      </c>
      <c r="I89" s="349">
        <v>33568809.55866356</v>
      </c>
      <c r="J89" s="334">
        <v>41639</v>
      </c>
      <c r="K89" s="298"/>
      <c r="L89" s="311">
        <f>$O$3</f>
        <v>0.0729</v>
      </c>
      <c r="M89" s="312">
        <f>I89*L89</f>
        <v>2447166.216826574</v>
      </c>
      <c r="N89" s="312">
        <f t="shared" si="12"/>
        <v>3764871.1028101137</v>
      </c>
      <c r="O89" s="306">
        <f t="shared" si="13"/>
        <v>313739.2585675095</v>
      </c>
      <c r="Q89" s="346"/>
      <c r="R89" s="346"/>
    </row>
    <row r="90" spans="1:15" ht="12.75">
      <c r="A90" s="285">
        <f>A89+1</f>
        <v>47</v>
      </c>
      <c r="B90" s="336"/>
      <c r="C90" s="337"/>
      <c r="D90" s="315"/>
      <c r="E90" s="315"/>
      <c r="F90" s="315"/>
      <c r="G90" s="317"/>
      <c r="H90" s="338"/>
      <c r="I90" s="315"/>
      <c r="J90" s="339"/>
      <c r="K90" s="354"/>
      <c r="L90" s="354"/>
      <c r="M90" s="347"/>
      <c r="N90" s="347"/>
      <c r="O90" s="347"/>
    </row>
    <row r="91" spans="1:15" ht="12.75">
      <c r="A91" s="285">
        <f>A90+1</f>
        <v>48</v>
      </c>
      <c r="B91" s="293" t="s">
        <v>337</v>
      </c>
      <c r="C91" s="295"/>
      <c r="D91" s="297"/>
      <c r="E91" s="297"/>
      <c r="F91" s="297"/>
      <c r="G91" s="297"/>
      <c r="H91" s="342" t="s">
        <v>338</v>
      </c>
      <c r="I91" s="297"/>
      <c r="J91" s="301"/>
      <c r="K91" s="298"/>
      <c r="L91" s="298"/>
      <c r="M91" s="306"/>
      <c r="N91" s="306"/>
      <c r="O91" s="306"/>
    </row>
    <row r="92" spans="1:15" ht="12.75" hidden="1">
      <c r="A92" s="285">
        <f>ROW()</f>
        <v>92</v>
      </c>
      <c r="B92" s="285" t="s">
        <v>303</v>
      </c>
      <c r="C92" s="295" t="s">
        <v>304</v>
      </c>
      <c r="D92" s="297"/>
      <c r="E92" s="297"/>
      <c r="F92" s="297">
        <v>0</v>
      </c>
      <c r="G92" s="297"/>
      <c r="H92" s="342"/>
      <c r="I92" s="297"/>
      <c r="J92" s="301"/>
      <c r="K92" s="298"/>
      <c r="L92" s="298"/>
      <c r="M92" s="306"/>
      <c r="N92" s="306"/>
      <c r="O92" s="306"/>
    </row>
    <row r="93" spans="1:15" ht="12.75" hidden="1">
      <c r="A93" s="285">
        <f>ROW()</f>
        <v>93</v>
      </c>
      <c r="B93" s="303" t="s">
        <v>317</v>
      </c>
      <c r="C93" s="295" t="s">
        <v>304</v>
      </c>
      <c r="D93" s="297"/>
      <c r="E93" s="297"/>
      <c r="F93" s="297">
        <v>-24871494.4</v>
      </c>
      <c r="G93" s="297"/>
      <c r="H93" s="304"/>
      <c r="I93" s="297">
        <v>-24871494.4</v>
      </c>
      <c r="J93" s="334">
        <v>40178</v>
      </c>
      <c r="K93" s="298"/>
      <c r="L93" s="302">
        <f>$L$22</f>
        <v>0.07</v>
      </c>
      <c r="M93" s="306">
        <v>-62008.383298630135</v>
      </c>
      <c r="N93" s="306">
        <f>+M93/(1-0.35)</f>
        <v>-95397.51276712328</v>
      </c>
      <c r="O93" s="306">
        <f>N93/12</f>
        <v>-7949.792730593606</v>
      </c>
    </row>
    <row r="94" spans="1:15" ht="12.75">
      <c r="A94" s="285">
        <v>49</v>
      </c>
      <c r="B94" s="303" t="s">
        <v>322</v>
      </c>
      <c r="C94" s="295" t="s">
        <v>304</v>
      </c>
      <c r="D94" s="297"/>
      <c r="E94" s="297"/>
      <c r="F94" s="297">
        <v>-24911730</v>
      </c>
      <c r="G94" s="297"/>
      <c r="H94" s="304"/>
      <c r="I94" s="297">
        <v>-25951720.1725</v>
      </c>
      <c r="J94" s="334">
        <v>40543</v>
      </c>
      <c r="K94" s="298"/>
      <c r="L94" s="345" t="s">
        <v>323</v>
      </c>
      <c r="M94" s="306">
        <v>-1797565.4504140962</v>
      </c>
      <c r="N94" s="306">
        <f>+M94/(1-0.35)</f>
        <v>-2765485.3083293787</v>
      </c>
      <c r="O94" s="306">
        <f>N94/12</f>
        <v>-230457.10902744823</v>
      </c>
    </row>
    <row r="95" spans="1:18" ht="12.75">
      <c r="A95" s="285">
        <f>A94+1</f>
        <v>50</v>
      </c>
      <c r="B95" s="303" t="s">
        <v>324</v>
      </c>
      <c r="C95" s="295" t="s">
        <v>304</v>
      </c>
      <c r="D95" s="297"/>
      <c r="E95" s="297"/>
      <c r="F95" s="297">
        <v>-29911730</v>
      </c>
      <c r="G95" s="297"/>
      <c r="H95" s="304"/>
      <c r="I95" s="297">
        <v>-29911730</v>
      </c>
      <c r="J95" s="334">
        <v>40908</v>
      </c>
      <c r="K95" s="298"/>
      <c r="L95" s="311">
        <v>0.069</v>
      </c>
      <c r="M95" s="306">
        <v>-2063909.37</v>
      </c>
      <c r="N95" s="306">
        <f>+M95/(1-0.35)</f>
        <v>-3175245.184615385</v>
      </c>
      <c r="O95" s="306">
        <f>N95/12</f>
        <v>-264603.7653846154</v>
      </c>
      <c r="Q95" s="346"/>
      <c r="R95" s="346"/>
    </row>
    <row r="96" spans="1:18" ht="12.75">
      <c r="A96" s="285">
        <f>A95+1</f>
        <v>51</v>
      </c>
      <c r="B96" s="303" t="s">
        <v>326</v>
      </c>
      <c r="C96" s="295" t="s">
        <v>304</v>
      </c>
      <c r="D96" s="297"/>
      <c r="E96" s="297"/>
      <c r="F96" s="297">
        <v>-29911730</v>
      </c>
      <c r="G96" s="297"/>
      <c r="H96" s="304"/>
      <c r="I96" s="297">
        <v>-29911730</v>
      </c>
      <c r="J96" s="334">
        <v>41274</v>
      </c>
      <c r="K96" s="298"/>
      <c r="L96" s="345" t="s">
        <v>327</v>
      </c>
      <c r="M96" s="312">
        <v>-2142212.5426438362</v>
      </c>
      <c r="N96" s="312">
        <f>+M96/(1-0.35)</f>
        <v>-3295711.60406744</v>
      </c>
      <c r="O96" s="306">
        <f>N96/12</f>
        <v>-274642.6336722867</v>
      </c>
      <c r="Q96" s="346"/>
      <c r="R96" s="346"/>
    </row>
    <row r="97" spans="1:18" ht="12.75">
      <c r="A97" s="285">
        <f>A96+1</f>
        <v>52</v>
      </c>
      <c r="B97" s="358" t="s">
        <v>328</v>
      </c>
      <c r="C97" s="359" t="s">
        <v>304</v>
      </c>
      <c r="D97" s="326"/>
      <c r="E97" s="326"/>
      <c r="F97" s="326">
        <f>F96</f>
        <v>-29911730</v>
      </c>
      <c r="G97" s="326"/>
      <c r="H97" s="360"/>
      <c r="I97" s="326">
        <f>I96</f>
        <v>-29911730</v>
      </c>
      <c r="J97" s="330">
        <v>41639</v>
      </c>
      <c r="K97" s="328"/>
      <c r="L97" s="361">
        <f>$O$3</f>
        <v>0.0729</v>
      </c>
      <c r="M97" s="332">
        <f>I97*L97</f>
        <v>-2180565.117</v>
      </c>
      <c r="N97" s="332">
        <f>+M97/(1-0.35)</f>
        <v>-3354715.5646153847</v>
      </c>
      <c r="O97" s="362">
        <f>N97/12</f>
        <v>-279559.6303846154</v>
      </c>
      <c r="Q97" s="346"/>
      <c r="R97" s="346"/>
    </row>
    <row r="98" spans="1:15" ht="12.75">
      <c r="A98" s="285">
        <f>A97+1</f>
        <v>53</v>
      </c>
      <c r="B98" s="350"/>
      <c r="C98" s="337"/>
      <c r="D98" s="315"/>
      <c r="E98" s="315"/>
      <c r="F98" s="315"/>
      <c r="G98" s="315"/>
      <c r="H98" s="338"/>
      <c r="I98" s="315"/>
      <c r="J98" s="363"/>
      <c r="K98" s="317"/>
      <c r="L98" s="317"/>
      <c r="M98" s="347"/>
      <c r="N98" s="347"/>
      <c r="O98" s="347"/>
    </row>
    <row r="99" spans="1:15" ht="12.75">
      <c r="A99" s="285">
        <f>A98+1</f>
        <v>54</v>
      </c>
      <c r="B99" s="293" t="s">
        <v>339</v>
      </c>
      <c r="C99" s="295"/>
      <c r="D99" s="297"/>
      <c r="E99" s="297"/>
      <c r="F99" s="297"/>
      <c r="G99" s="297"/>
      <c r="H99" s="342" t="s">
        <v>340</v>
      </c>
      <c r="I99" s="297"/>
      <c r="J99" s="301"/>
      <c r="K99" s="298"/>
      <c r="L99" s="298"/>
      <c r="M99" s="306"/>
      <c r="N99" s="306"/>
      <c r="O99" s="306"/>
    </row>
    <row r="100" spans="1:15" ht="12.75" hidden="1">
      <c r="A100" s="285">
        <f>ROW()</f>
        <v>100</v>
      </c>
      <c r="B100" s="285" t="s">
        <v>303</v>
      </c>
      <c r="C100" s="295" t="s">
        <v>304</v>
      </c>
      <c r="D100" s="297"/>
      <c r="E100" s="297"/>
      <c r="F100" s="297">
        <v>0</v>
      </c>
      <c r="G100" s="297"/>
      <c r="H100" s="342"/>
      <c r="I100" s="297"/>
      <c r="J100" s="301"/>
      <c r="K100" s="298"/>
      <c r="L100" s="298"/>
      <c r="M100" s="306"/>
      <c r="N100" s="306"/>
      <c r="O100" s="306"/>
    </row>
    <row r="101" spans="1:15" ht="12.75" hidden="1">
      <c r="A101" s="285">
        <f>ROW()</f>
        <v>101</v>
      </c>
      <c r="B101" s="303" t="s">
        <v>317</v>
      </c>
      <c r="C101" s="295" t="s">
        <v>304</v>
      </c>
      <c r="D101" s="297"/>
      <c r="E101" s="297"/>
      <c r="F101" s="297">
        <v>-11158000</v>
      </c>
      <c r="G101" s="297"/>
      <c r="H101" s="304"/>
      <c r="I101" s="297">
        <v>-11158000</v>
      </c>
      <c r="J101" s="334">
        <v>40178</v>
      </c>
      <c r="K101" s="298"/>
      <c r="L101" s="302">
        <f>$L$22</f>
        <v>0.07</v>
      </c>
      <c r="M101" s="306">
        <v>-27818.575342465756</v>
      </c>
      <c r="N101" s="306">
        <f>+M101/(1-0.35)</f>
        <v>-42797.808219178085</v>
      </c>
      <c r="O101" s="306">
        <f>N101/12</f>
        <v>-3566.4840182648404</v>
      </c>
    </row>
    <row r="102" spans="1:15" ht="13.5" customHeight="1">
      <c r="A102" s="285">
        <v>55</v>
      </c>
      <c r="B102" s="303" t="s">
        <v>322</v>
      </c>
      <c r="C102" s="295" t="s">
        <v>304</v>
      </c>
      <c r="D102" s="297"/>
      <c r="E102" s="297"/>
      <c r="F102" s="297">
        <v>-11290628</v>
      </c>
      <c r="G102" s="297"/>
      <c r="H102" s="304"/>
      <c r="I102" s="297">
        <v>-12226928.583333334</v>
      </c>
      <c r="J102" s="334">
        <v>40543</v>
      </c>
      <c r="K102" s="298"/>
      <c r="L102" s="345" t="s">
        <v>323</v>
      </c>
      <c r="M102" s="306">
        <v>-846907.4203940638</v>
      </c>
      <c r="N102" s="306">
        <f>+M102/(1-0.35)</f>
        <v>-1302934.4929139442</v>
      </c>
      <c r="O102" s="306">
        <f>N102/12</f>
        <v>-108577.87440949534</v>
      </c>
    </row>
    <row r="103" spans="1:18" ht="12.75">
      <c r="A103" s="285">
        <f>A102+1</f>
        <v>56</v>
      </c>
      <c r="B103" s="303" t="s">
        <v>324</v>
      </c>
      <c r="C103" s="295" t="s">
        <v>304</v>
      </c>
      <c r="D103" s="297"/>
      <c r="E103" s="297"/>
      <c r="F103" s="297">
        <v>-10767482.300000004</v>
      </c>
      <c r="G103" s="297"/>
      <c r="H103" s="304"/>
      <c r="I103" s="297">
        <v>-11029055.150000002</v>
      </c>
      <c r="J103" s="334">
        <v>40908</v>
      </c>
      <c r="K103" s="298"/>
      <c r="L103" s="311">
        <v>0.069</v>
      </c>
      <c r="M103" s="306">
        <v>-761004.8053500005</v>
      </c>
      <c r="N103" s="306">
        <f>+M103/(1-0.35)</f>
        <v>-1170776.6236153853</v>
      </c>
      <c r="O103" s="306">
        <f>N103/12</f>
        <v>-97564.71863461543</v>
      </c>
      <c r="Q103" s="346"/>
      <c r="R103" s="346"/>
    </row>
    <row r="104" spans="1:18" ht="12.75">
      <c r="A104" s="285">
        <f>A103+1</f>
        <v>57</v>
      </c>
      <c r="B104" s="303" t="s">
        <v>326</v>
      </c>
      <c r="C104" s="295" t="s">
        <v>304</v>
      </c>
      <c r="D104" s="297"/>
      <c r="E104" s="297"/>
      <c r="F104" s="297">
        <v>-10505909.450000005</v>
      </c>
      <c r="G104" s="297"/>
      <c r="H104" s="304"/>
      <c r="I104" s="297">
        <f>F104</f>
        <v>-10505909.450000005</v>
      </c>
      <c r="J104" s="334">
        <v>41274</v>
      </c>
      <c r="K104" s="298"/>
      <c r="L104" s="345" t="s">
        <v>327</v>
      </c>
      <c r="M104" s="312">
        <v>-752410.2081581509</v>
      </c>
      <c r="N104" s="312">
        <f>+M104/(1-0.35)</f>
        <v>-1157554.1663971553</v>
      </c>
      <c r="O104" s="306">
        <f>N104/12</f>
        <v>-96462.84719976294</v>
      </c>
      <c r="Q104" s="346"/>
      <c r="R104" s="346"/>
    </row>
    <row r="105" spans="1:18" ht="12.75">
      <c r="A105" s="285">
        <f>A104+1</f>
        <v>58</v>
      </c>
      <c r="B105" s="303" t="s">
        <v>328</v>
      </c>
      <c r="C105" s="295" t="s">
        <v>304</v>
      </c>
      <c r="D105" s="297"/>
      <c r="E105" s="297"/>
      <c r="F105" s="297">
        <v>-9982763.750000011</v>
      </c>
      <c r="G105" s="297"/>
      <c r="H105" s="304"/>
      <c r="I105" s="297">
        <f>F105</f>
        <v>-9982763.750000011</v>
      </c>
      <c r="J105" s="334">
        <v>41639</v>
      </c>
      <c r="K105" s="298"/>
      <c r="L105" s="311">
        <f>$O$3</f>
        <v>0.0729</v>
      </c>
      <c r="M105" s="312">
        <f>I105*L105</f>
        <v>-727743.4773750008</v>
      </c>
      <c r="N105" s="312">
        <f>+M105/(1-0.35)</f>
        <v>-1119605.3498076936</v>
      </c>
      <c r="O105" s="306">
        <f>N105/12</f>
        <v>-93300.4458173078</v>
      </c>
      <c r="Q105" s="346"/>
      <c r="R105" s="346"/>
    </row>
    <row r="106" spans="1:15" ht="12.75">
      <c r="A106" s="285">
        <f>A105+1</f>
        <v>59</v>
      </c>
      <c r="B106" s="364"/>
      <c r="C106" s="315"/>
      <c r="D106" s="315"/>
      <c r="E106" s="315"/>
      <c r="F106" s="315"/>
      <c r="G106" s="365"/>
      <c r="H106" s="315"/>
      <c r="I106" s="315"/>
      <c r="J106" s="339"/>
      <c r="K106" s="317"/>
      <c r="L106" s="321"/>
      <c r="M106" s="347"/>
      <c r="N106" s="347"/>
      <c r="O106" s="347"/>
    </row>
    <row r="107" spans="1:14" ht="12.75">
      <c r="A107" s="285">
        <f>A106+1</f>
        <v>60</v>
      </c>
      <c r="B107" s="293" t="s">
        <v>341</v>
      </c>
      <c r="C107" s="297"/>
      <c r="D107" s="297"/>
      <c r="E107" s="297"/>
      <c r="F107" s="297"/>
      <c r="G107" s="366"/>
      <c r="H107" s="367" t="s">
        <v>342</v>
      </c>
      <c r="I107" s="297"/>
      <c r="J107" s="368"/>
      <c r="K107" s="369"/>
      <c r="L107" s="370"/>
      <c r="M107" s="306"/>
      <c r="N107" s="306"/>
    </row>
    <row r="108" spans="1:14" ht="12.75" hidden="1">
      <c r="A108" s="285">
        <f>ROW()</f>
        <v>108</v>
      </c>
      <c r="B108" s="303" t="s">
        <v>303</v>
      </c>
      <c r="C108" s="295" t="s">
        <v>304</v>
      </c>
      <c r="D108" s="297"/>
      <c r="E108" s="297"/>
      <c r="F108" s="297">
        <v>10750000</v>
      </c>
      <c r="G108" s="366"/>
      <c r="H108" s="297"/>
      <c r="I108" s="297"/>
      <c r="J108" s="368"/>
      <c r="K108" s="369"/>
      <c r="L108" s="370"/>
      <c r="M108" s="306"/>
      <c r="N108" s="306"/>
    </row>
    <row r="109" spans="1:15" ht="12.75" hidden="1">
      <c r="A109" s="285">
        <f>ROW()</f>
        <v>109</v>
      </c>
      <c r="B109" s="303" t="s">
        <v>310</v>
      </c>
      <c r="C109" s="295" t="s">
        <v>304</v>
      </c>
      <c r="D109" s="297"/>
      <c r="E109" s="297">
        <v>0</v>
      </c>
      <c r="F109" s="297">
        <f>F108+E109</f>
        <v>10750000</v>
      </c>
      <c r="G109" s="366"/>
      <c r="H109" s="297">
        <v>0</v>
      </c>
      <c r="I109" s="297">
        <v>0</v>
      </c>
      <c r="J109" s="334">
        <v>38533</v>
      </c>
      <c r="K109" s="369"/>
      <c r="L109" s="311"/>
      <c r="M109" s="306">
        <v>0</v>
      </c>
      <c r="N109" s="306">
        <v>0</v>
      </c>
      <c r="O109" s="306">
        <v>0</v>
      </c>
    </row>
    <row r="110" spans="1:15" ht="12.75" hidden="1">
      <c r="A110" s="285">
        <f>ROW()</f>
        <v>110</v>
      </c>
      <c r="B110" s="313" t="s">
        <v>312</v>
      </c>
      <c r="C110" s="314" t="s">
        <v>304</v>
      </c>
      <c r="D110" s="315"/>
      <c r="E110" s="315">
        <v>-1872029.49</v>
      </c>
      <c r="F110" s="315">
        <f>F109+E110-20000</f>
        <v>8857970.51</v>
      </c>
      <c r="G110" s="317"/>
      <c r="H110" s="318">
        <v>-367908.8928248915</v>
      </c>
      <c r="I110" s="315">
        <v>6670465.356423163</v>
      </c>
      <c r="J110" s="319">
        <v>38898</v>
      </c>
      <c r="K110" s="320"/>
      <c r="L110" s="321">
        <f>$L$18</f>
        <v>0.07010000000000001</v>
      </c>
      <c r="M110" s="322">
        <f>I110*L110</f>
        <v>467599.6214852638</v>
      </c>
      <c r="N110" s="322">
        <f aca="true" t="shared" si="14" ref="N110:N116">+M110/(1-0.35)</f>
        <v>719384.033054252</v>
      </c>
      <c r="O110" s="323">
        <f aca="true" t="shared" si="15" ref="O110:O116">N110/12</f>
        <v>59948.66942118767</v>
      </c>
    </row>
    <row r="111" spans="1:15" ht="12.75" hidden="1">
      <c r="A111" s="285">
        <f>ROW()</f>
        <v>111</v>
      </c>
      <c r="B111" s="324"/>
      <c r="C111" s="325"/>
      <c r="D111" s="326"/>
      <c r="E111" s="327"/>
      <c r="F111" s="327"/>
      <c r="G111" s="328"/>
      <c r="H111" s="329">
        <f>+E110-H110</f>
        <v>-1504120.5971751085</v>
      </c>
      <c r="I111" s="326">
        <v>9365524.824166667</v>
      </c>
      <c r="J111" s="330">
        <v>39082</v>
      </c>
      <c r="K111" s="328"/>
      <c r="L111" s="331">
        <f>$L$18</f>
        <v>0.07010000000000001</v>
      </c>
      <c r="M111" s="332">
        <f>I111*L111</f>
        <v>656523.2901740834</v>
      </c>
      <c r="N111" s="332">
        <f t="shared" si="14"/>
        <v>1010035.8310370514</v>
      </c>
      <c r="O111" s="333">
        <f t="shared" si="15"/>
        <v>84169.65258642095</v>
      </c>
    </row>
    <row r="112" spans="1:15" ht="12.75" hidden="1">
      <c r="A112" s="285">
        <f>ROW()</f>
        <v>112</v>
      </c>
      <c r="B112" s="303" t="s">
        <v>313</v>
      </c>
      <c r="C112" s="295" t="s">
        <v>304</v>
      </c>
      <c r="D112" s="297"/>
      <c r="E112" s="297">
        <v>-901653.71</v>
      </c>
      <c r="F112" s="297">
        <f>F110+E112-518609</f>
        <v>7437707.8</v>
      </c>
      <c r="G112" s="366"/>
      <c r="H112" s="352">
        <f>E112</f>
        <v>-901653.71</v>
      </c>
      <c r="I112" s="349">
        <v>8477695.015833335</v>
      </c>
      <c r="J112" s="334">
        <v>39447</v>
      </c>
      <c r="K112" s="369"/>
      <c r="L112" s="311" t="s">
        <v>314</v>
      </c>
      <c r="M112" s="312">
        <v>598385.9087477102</v>
      </c>
      <c r="N112" s="312">
        <f t="shared" si="14"/>
        <v>920593.7057657079</v>
      </c>
      <c r="O112" s="306">
        <f t="shared" si="15"/>
        <v>76716.14214714232</v>
      </c>
    </row>
    <row r="113" spans="1:15" ht="12.75" hidden="1">
      <c r="A113" s="285">
        <f>ROW()</f>
        <v>113</v>
      </c>
      <c r="B113" s="303" t="s">
        <v>315</v>
      </c>
      <c r="C113" s="295" t="s">
        <v>304</v>
      </c>
      <c r="D113" s="297"/>
      <c r="E113" s="297">
        <v>-1980754.04</v>
      </c>
      <c r="F113" s="297">
        <f>F112+E113</f>
        <v>5456953.76</v>
      </c>
      <c r="G113" s="366"/>
      <c r="H113" s="352">
        <f>E113</f>
        <v>-1980754.04</v>
      </c>
      <c r="I113" s="297">
        <v>6240829.689166665</v>
      </c>
      <c r="J113" s="334">
        <v>39813</v>
      </c>
      <c r="K113" s="369"/>
      <c r="L113" s="311" t="str">
        <f>$L$21</f>
        <v>7.06%&amp;7.00%</v>
      </c>
      <c r="M113" s="312">
        <v>440019.4569349999</v>
      </c>
      <c r="N113" s="312">
        <f t="shared" si="14"/>
        <v>676953.0106692306</v>
      </c>
      <c r="O113" s="306">
        <f t="shared" si="15"/>
        <v>56412.75088910255</v>
      </c>
    </row>
    <row r="114" spans="1:15" ht="12.75" hidden="1">
      <c r="A114" s="285">
        <f>ROW()</f>
        <v>114</v>
      </c>
      <c r="B114" s="303" t="s">
        <v>317</v>
      </c>
      <c r="C114" s="295" t="s">
        <v>304</v>
      </c>
      <c r="D114" s="297"/>
      <c r="E114" s="297">
        <v>-2323051.21</v>
      </c>
      <c r="F114" s="297">
        <v>2633902.72</v>
      </c>
      <c r="G114" s="366"/>
      <c r="H114" s="352">
        <f>E114</f>
        <v>-2323051.21</v>
      </c>
      <c r="I114" s="297">
        <v>3801721.3862499986</v>
      </c>
      <c r="J114" s="334">
        <v>40178</v>
      </c>
      <c r="K114" s="369"/>
      <c r="L114" s="371">
        <f>$L$22</f>
        <v>0.07</v>
      </c>
      <c r="M114" s="312">
        <v>266120.4970374999</v>
      </c>
      <c r="N114" s="312">
        <f t="shared" si="14"/>
        <v>409416.14928846137</v>
      </c>
      <c r="O114" s="306">
        <f t="shared" si="15"/>
        <v>34118.01244070511</v>
      </c>
    </row>
    <row r="115" spans="1:15" ht="12.75">
      <c r="A115" s="285">
        <v>61</v>
      </c>
      <c r="B115" s="303" t="s">
        <v>322</v>
      </c>
      <c r="C115" s="295" t="s">
        <v>304</v>
      </c>
      <c r="D115" s="297"/>
      <c r="E115" s="297">
        <v>-2397901.32</v>
      </c>
      <c r="F115" s="297">
        <v>236001.39999999473</v>
      </c>
      <c r="G115" s="366"/>
      <c r="H115" s="352">
        <f>E115</f>
        <v>-2397901.32</v>
      </c>
      <c r="I115" s="297">
        <v>1442617.268333332</v>
      </c>
      <c r="J115" s="334">
        <v>40543</v>
      </c>
      <c r="K115" s="369"/>
      <c r="L115" s="345" t="s">
        <v>323</v>
      </c>
      <c r="M115" s="312">
        <v>99923.97199452955</v>
      </c>
      <c r="N115" s="312">
        <f t="shared" si="14"/>
        <v>153729.18768389162</v>
      </c>
      <c r="O115" s="306">
        <f t="shared" si="15"/>
        <v>12810.765640324302</v>
      </c>
    </row>
    <row r="116" spans="1:18" ht="12.75" hidden="1">
      <c r="A116" s="285">
        <f>ROW()</f>
        <v>116</v>
      </c>
      <c r="B116" s="303" t="s">
        <v>324</v>
      </c>
      <c r="C116" s="295" t="s">
        <v>304</v>
      </c>
      <c r="D116" s="297"/>
      <c r="E116" s="297">
        <v>-236001.39999999735</v>
      </c>
      <c r="F116" s="297">
        <v>-2.6193447411060333E-09</v>
      </c>
      <c r="G116" s="369"/>
      <c r="H116" s="352">
        <f>E116</f>
        <v>-236001.39999999735</v>
      </c>
      <c r="I116" s="297">
        <v>12571.705833330385</v>
      </c>
      <c r="J116" s="334">
        <v>40908</v>
      </c>
      <c r="K116" s="369"/>
      <c r="L116" s="311">
        <v>0.069</v>
      </c>
      <c r="M116" s="312">
        <v>867.4477024997965</v>
      </c>
      <c r="N116" s="312">
        <f t="shared" si="14"/>
        <v>1334.5349269227638</v>
      </c>
      <c r="O116" s="306">
        <f t="shared" si="15"/>
        <v>111.21124391023032</v>
      </c>
      <c r="Q116" s="346"/>
      <c r="R116" s="346"/>
    </row>
    <row r="117" spans="1:15" ht="12.75" hidden="1">
      <c r="A117" s="372">
        <f>ROW()</f>
        <v>117</v>
      </c>
      <c r="B117" s="358"/>
      <c r="C117" s="359"/>
      <c r="D117" s="326"/>
      <c r="E117" s="326"/>
      <c r="F117" s="326"/>
      <c r="G117" s="373"/>
      <c r="H117" s="374"/>
      <c r="I117" s="326"/>
      <c r="J117" s="375"/>
      <c r="K117" s="376"/>
      <c r="L117" s="377"/>
      <c r="M117" s="332"/>
      <c r="N117" s="332"/>
      <c r="O117" s="362"/>
    </row>
    <row r="118" spans="1:15" ht="12.75">
      <c r="A118" s="335">
        <v>62</v>
      </c>
      <c r="B118" s="350"/>
      <c r="C118" s="337"/>
      <c r="D118" s="315"/>
      <c r="E118" s="315"/>
      <c r="F118" s="315"/>
      <c r="G118" s="378"/>
      <c r="H118" s="379"/>
      <c r="I118" s="315"/>
      <c r="J118" s="319"/>
      <c r="K118" s="380"/>
      <c r="L118" s="381"/>
      <c r="M118" s="322"/>
      <c r="N118" s="322"/>
      <c r="O118" s="347"/>
    </row>
    <row r="119" spans="1:14" ht="12.75">
      <c r="A119" s="285">
        <v>63</v>
      </c>
      <c r="B119" s="293" t="s">
        <v>343</v>
      </c>
      <c r="C119" s="297"/>
      <c r="D119" s="297"/>
      <c r="E119" s="297"/>
      <c r="F119" s="297"/>
      <c r="G119" s="298"/>
      <c r="H119" s="342" t="s">
        <v>344</v>
      </c>
      <c r="I119" s="297"/>
      <c r="J119" s="301"/>
      <c r="K119" s="298"/>
      <c r="L119" s="291"/>
      <c r="M119" s="306"/>
      <c r="N119" s="306"/>
    </row>
    <row r="120" spans="1:15" ht="12.75" hidden="1">
      <c r="A120" s="285">
        <f>ROW()</f>
        <v>120</v>
      </c>
      <c r="B120" s="355" t="s">
        <v>315</v>
      </c>
      <c r="C120" s="295" t="s">
        <v>304</v>
      </c>
      <c r="D120" s="297"/>
      <c r="E120" s="297">
        <v>-693692.3039541667</v>
      </c>
      <c r="F120" s="297">
        <v>7664769.167220833</v>
      </c>
      <c r="G120" s="366"/>
      <c r="H120" s="348">
        <f>E120</f>
        <v>-693692.3039541667</v>
      </c>
      <c r="I120" s="297">
        <v>7814471.913137154</v>
      </c>
      <c r="J120" s="334">
        <v>39813</v>
      </c>
      <c r="K120" s="369"/>
      <c r="L120" s="311" t="s">
        <v>316</v>
      </c>
      <c r="M120" s="312">
        <v>91147.01033262184</v>
      </c>
      <c r="N120" s="312">
        <f>+M120/(1-0.35)</f>
        <v>140226.16974249514</v>
      </c>
      <c r="O120" s="306">
        <f>N120/12</f>
        <v>11685.514145207928</v>
      </c>
    </row>
    <row r="121" spans="1:15" ht="12.75" hidden="1">
      <c r="A121" s="285">
        <f>ROW()</f>
        <v>121</v>
      </c>
      <c r="B121" s="355" t="s">
        <v>317</v>
      </c>
      <c r="C121" s="295" t="s">
        <v>304</v>
      </c>
      <c r="D121" s="297"/>
      <c r="E121" s="297">
        <v>-4162153.8237249996</v>
      </c>
      <c r="F121" s="297">
        <v>4959615.343495834</v>
      </c>
      <c r="G121" s="366"/>
      <c r="H121" s="348">
        <f>E121</f>
        <v>-4162153.8237249996</v>
      </c>
      <c r="I121" s="297">
        <v>6308567.255358334</v>
      </c>
      <c r="J121" s="334">
        <v>40178</v>
      </c>
      <c r="K121" s="369"/>
      <c r="L121" s="302">
        <f>$L$22</f>
        <v>0.07</v>
      </c>
      <c r="M121" s="312">
        <v>441599.7078750834</v>
      </c>
      <c r="N121" s="312">
        <f>+M121/(1-0.35)</f>
        <v>679384.1659616667</v>
      </c>
      <c r="O121" s="306">
        <f>N121/12</f>
        <v>56615.34716347223</v>
      </c>
    </row>
    <row r="122" spans="1:15" ht="12.75">
      <c r="A122" s="285">
        <v>64</v>
      </c>
      <c r="B122" s="355" t="s">
        <v>322</v>
      </c>
      <c r="C122" s="295" t="s">
        <v>304</v>
      </c>
      <c r="D122" s="297"/>
      <c r="E122" s="297">
        <v>-4162153.8237249996</v>
      </c>
      <c r="F122" s="297">
        <v>2254208.186437498</v>
      </c>
      <c r="G122" s="366"/>
      <c r="H122" s="348">
        <f>E122</f>
        <v>-4162153.8237249996</v>
      </c>
      <c r="I122" s="297">
        <v>3605726.4594111103</v>
      </c>
      <c r="J122" s="334">
        <v>40543</v>
      </c>
      <c r="K122" s="369"/>
      <c r="L122" s="345" t="s">
        <v>323</v>
      </c>
      <c r="M122" s="312">
        <v>249753.35985433336</v>
      </c>
      <c r="N122" s="312">
        <f>+M122/(1-0.35)</f>
        <v>384235.93823743594</v>
      </c>
      <c r="O122" s="306">
        <f>N122/12</f>
        <v>32019.66151978633</v>
      </c>
    </row>
    <row r="123" spans="1:18" ht="12.75" hidden="1">
      <c r="A123" s="285">
        <f>ROW()</f>
        <v>123</v>
      </c>
      <c r="B123" s="355" t="s">
        <v>324</v>
      </c>
      <c r="C123" s="295" t="s">
        <v>304</v>
      </c>
      <c r="D123" s="297"/>
      <c r="E123" s="297">
        <v>-3468461.519770833</v>
      </c>
      <c r="F123" s="297">
        <v>0</v>
      </c>
      <c r="G123" s="366"/>
      <c r="H123" s="348">
        <f>E123</f>
        <v>-3468461.519770833</v>
      </c>
      <c r="I123" s="297">
        <v>938923.5869415514</v>
      </c>
      <c r="J123" s="334">
        <v>40908</v>
      </c>
      <c r="K123" s="369"/>
      <c r="L123" s="311">
        <v>0.069</v>
      </c>
      <c r="M123" s="312">
        <v>64785.72749896706</v>
      </c>
      <c r="N123" s="312">
        <f>+M123/(1-0.35)</f>
        <v>99670.34999841086</v>
      </c>
      <c r="O123" s="306">
        <f>N123/12</f>
        <v>8305.862499867571</v>
      </c>
      <c r="Q123" s="346"/>
      <c r="R123" s="346"/>
    </row>
    <row r="124" spans="1:15" ht="12.75" hidden="1">
      <c r="A124" s="372">
        <f>ROW()</f>
        <v>124</v>
      </c>
      <c r="B124" s="358"/>
      <c r="C124" s="359"/>
      <c r="D124" s="326"/>
      <c r="E124" s="326"/>
      <c r="F124" s="326"/>
      <c r="G124" s="373"/>
      <c r="H124" s="374"/>
      <c r="I124" s="326"/>
      <c r="J124" s="375"/>
      <c r="K124" s="376"/>
      <c r="L124" s="377"/>
      <c r="M124" s="332"/>
      <c r="N124" s="332"/>
      <c r="O124" s="362"/>
    </row>
    <row r="125" spans="1:15" ht="12.75">
      <c r="A125" s="335">
        <v>65</v>
      </c>
      <c r="B125" s="350"/>
      <c r="C125" s="337"/>
      <c r="D125" s="315"/>
      <c r="E125" s="315"/>
      <c r="F125" s="315"/>
      <c r="G125" s="378"/>
      <c r="H125" s="379"/>
      <c r="I125" s="315"/>
      <c r="J125" s="319"/>
      <c r="K125" s="380"/>
      <c r="L125" s="381"/>
      <c r="M125" s="322"/>
      <c r="N125" s="322"/>
      <c r="O125" s="347"/>
    </row>
    <row r="126" spans="1:15" s="274" customFormat="1" ht="13.5" customHeight="1">
      <c r="A126" s="285">
        <v>66</v>
      </c>
      <c r="B126" s="293" t="s">
        <v>345</v>
      </c>
      <c r="C126" s="295"/>
      <c r="D126" s="297"/>
      <c r="E126" s="297"/>
      <c r="F126" s="297"/>
      <c r="G126" s="366"/>
      <c r="H126" s="342" t="s">
        <v>346</v>
      </c>
      <c r="I126" s="297"/>
      <c r="J126" s="309"/>
      <c r="K126" s="369"/>
      <c r="L126" s="371"/>
      <c r="M126" s="312"/>
      <c r="N126" s="312"/>
      <c r="O126" s="306"/>
    </row>
    <row r="127" spans="1:15" s="274" customFormat="1" ht="12.75" hidden="1">
      <c r="A127" s="285">
        <f>ROW()</f>
        <v>127</v>
      </c>
      <c r="B127" s="355" t="s">
        <v>315</v>
      </c>
      <c r="C127" s="295" t="s">
        <v>304</v>
      </c>
      <c r="D127" s="297"/>
      <c r="E127" s="297">
        <v>241916.66666666666</v>
      </c>
      <c r="F127" s="297">
        <v>-1729704.166666667</v>
      </c>
      <c r="G127" s="366"/>
      <c r="H127" s="352">
        <f>E127</f>
        <v>241916.66666666666</v>
      </c>
      <c r="I127" s="297">
        <v>-464681.5972222222</v>
      </c>
      <c r="J127" s="334">
        <v>39813</v>
      </c>
      <c r="K127" s="369"/>
      <c r="L127" s="311" t="s">
        <v>316</v>
      </c>
      <c r="M127" s="312">
        <v>-5421.285300925926</v>
      </c>
      <c r="N127" s="312">
        <f>+M127/(1-0.35)</f>
        <v>-8340.438924501424</v>
      </c>
      <c r="O127" s="306">
        <f>N127/12</f>
        <v>-695.0365770417853</v>
      </c>
    </row>
    <row r="128" spans="1:15" s="274" customFormat="1" ht="12.75" hidden="1">
      <c r="A128" s="285">
        <f>ROW()</f>
        <v>128</v>
      </c>
      <c r="B128" s="355" t="s">
        <v>317</v>
      </c>
      <c r="C128" s="295" t="s">
        <v>304</v>
      </c>
      <c r="D128" s="297"/>
      <c r="E128" s="297">
        <v>1451500</v>
      </c>
      <c r="F128" s="297">
        <v>-786229.166666667</v>
      </c>
      <c r="G128" s="366"/>
      <c r="H128" s="352">
        <f>E128</f>
        <v>1451500</v>
      </c>
      <c r="I128" s="297">
        <v>-1257966.6666666667</v>
      </c>
      <c r="J128" s="334">
        <v>40178</v>
      </c>
      <c r="K128" s="369"/>
      <c r="L128" s="302">
        <f>$L$22</f>
        <v>0.07</v>
      </c>
      <c r="M128" s="312">
        <v>-88057.66666666669</v>
      </c>
      <c r="N128" s="312">
        <f>+M128/(1-0.35)</f>
        <v>-135473.33333333337</v>
      </c>
      <c r="O128" s="306">
        <f>N128/12</f>
        <v>-11289.444444444447</v>
      </c>
    </row>
    <row r="129" spans="1:15" s="274" customFormat="1" ht="12.75">
      <c r="A129" s="285">
        <v>67</v>
      </c>
      <c r="B129" s="355" t="s">
        <v>322</v>
      </c>
      <c r="C129" s="295" t="s">
        <v>304</v>
      </c>
      <c r="D129" s="297"/>
      <c r="E129" s="297">
        <v>1209583.3333333333</v>
      </c>
      <c r="F129" s="297">
        <v>0</v>
      </c>
      <c r="G129" s="366"/>
      <c r="H129" s="352">
        <f>E129</f>
        <v>1209583.3333333333</v>
      </c>
      <c r="I129" s="297">
        <v>-327264.69444444455</v>
      </c>
      <c r="J129" s="334">
        <v>40543</v>
      </c>
      <c r="K129" s="369"/>
      <c r="L129" s="345" t="s">
        <v>323</v>
      </c>
      <c r="M129" s="312">
        <v>-22668.235629984785</v>
      </c>
      <c r="N129" s="312">
        <f>+M129/(1-0.35)</f>
        <v>-34874.208661515055</v>
      </c>
      <c r="O129" s="306">
        <f>N129/12</f>
        <v>-2906.1840551262544</v>
      </c>
    </row>
    <row r="130" spans="1:15" ht="12.75">
      <c r="A130" s="335">
        <f>A129+1</f>
        <v>68</v>
      </c>
      <c r="B130" s="382"/>
      <c r="C130" s="337"/>
      <c r="D130" s="315"/>
      <c r="E130" s="315"/>
      <c r="F130" s="315"/>
      <c r="G130" s="378"/>
      <c r="H130" s="383"/>
      <c r="I130" s="315"/>
      <c r="J130" s="319"/>
      <c r="K130" s="380"/>
      <c r="L130" s="321"/>
      <c r="M130" s="322"/>
      <c r="N130" s="322"/>
      <c r="O130" s="347"/>
    </row>
    <row r="131" spans="1:15" ht="12.75">
      <c r="A131" s="335">
        <f>A130+1</f>
        <v>69</v>
      </c>
      <c r="B131" s="293" t="s">
        <v>347</v>
      </c>
      <c r="C131" s="295"/>
      <c r="D131" s="297"/>
      <c r="E131" s="297"/>
      <c r="F131" s="297"/>
      <c r="G131" s="366"/>
      <c r="H131" s="342" t="s">
        <v>348</v>
      </c>
      <c r="I131" s="297"/>
      <c r="J131" s="309"/>
      <c r="K131" s="369"/>
      <c r="L131" s="302"/>
      <c r="M131" s="312"/>
      <c r="N131" s="312"/>
      <c r="O131" s="306"/>
    </row>
    <row r="132" spans="1:15" ht="12.75" hidden="1">
      <c r="A132" s="285">
        <f>ROW()</f>
        <v>132</v>
      </c>
      <c r="B132" s="355" t="s">
        <v>315</v>
      </c>
      <c r="C132" s="295" t="s">
        <v>304</v>
      </c>
      <c r="D132" s="297"/>
      <c r="E132" s="297">
        <v>0</v>
      </c>
      <c r="F132" s="297">
        <v>-2294526.55</v>
      </c>
      <c r="G132" s="366"/>
      <c r="H132" s="352">
        <f aca="true" t="shared" si="16" ref="H132:H143">E132</f>
        <v>0</v>
      </c>
      <c r="I132" s="297">
        <v>-477956.78125</v>
      </c>
      <c r="J132" s="334">
        <v>39813</v>
      </c>
      <c r="K132" s="369"/>
      <c r="L132" s="302">
        <f>$L$22</f>
        <v>0.07</v>
      </c>
      <c r="M132" s="312">
        <v>-8434.239528364073</v>
      </c>
      <c r="N132" s="312">
        <f aca="true" t="shared" si="17" ref="N132:N143">+M132/(1-0.35)</f>
        <v>-12975.753120560112</v>
      </c>
      <c r="O132" s="306">
        <f aca="true" t="shared" si="18" ref="O132:O143">N132/12</f>
        <v>-1081.312760046676</v>
      </c>
    </row>
    <row r="133" spans="1:15" ht="12.75" hidden="1">
      <c r="A133" s="285">
        <f>ROW()</f>
        <v>133</v>
      </c>
      <c r="B133" s="355" t="s">
        <v>317</v>
      </c>
      <c r="C133" s="295" t="s">
        <v>304</v>
      </c>
      <c r="D133" s="297"/>
      <c r="E133" s="297">
        <v>0</v>
      </c>
      <c r="F133" s="297">
        <v>-2294526.55</v>
      </c>
      <c r="G133" s="366"/>
      <c r="H133" s="352">
        <f t="shared" si="16"/>
        <v>0</v>
      </c>
      <c r="I133" s="297">
        <v>-2294526.55</v>
      </c>
      <c r="J133" s="334">
        <v>40178</v>
      </c>
      <c r="K133" s="369"/>
      <c r="L133" s="302">
        <f>$L$22</f>
        <v>0.07</v>
      </c>
      <c r="M133" s="312">
        <v>-160616.85850000003</v>
      </c>
      <c r="N133" s="312">
        <f t="shared" si="17"/>
        <v>-247102.85923076927</v>
      </c>
      <c r="O133" s="306">
        <f t="shared" si="18"/>
        <v>-20591.90493589744</v>
      </c>
    </row>
    <row r="134" spans="1:15" ht="12.75">
      <c r="A134" s="285">
        <v>70</v>
      </c>
      <c r="B134" s="355" t="s">
        <v>322</v>
      </c>
      <c r="C134" s="295" t="s">
        <v>304</v>
      </c>
      <c r="D134" s="297"/>
      <c r="E134" s="297">
        <v>457531.3044444445</v>
      </c>
      <c r="F134" s="297">
        <v>-1996797.2021111113</v>
      </c>
      <c r="G134" s="366"/>
      <c r="H134" s="352">
        <f t="shared" si="16"/>
        <v>457531.3044444445</v>
      </c>
      <c r="I134" s="297">
        <v>-2135207.6825416666</v>
      </c>
      <c r="J134" s="334">
        <v>40543</v>
      </c>
      <c r="K134" s="369"/>
      <c r="L134" s="345" t="s">
        <v>323</v>
      </c>
      <c r="M134" s="312">
        <v>-147896.76884936553</v>
      </c>
      <c r="N134" s="312">
        <f t="shared" si="17"/>
        <v>-227533.49053748543</v>
      </c>
      <c r="O134" s="306">
        <f t="shared" si="18"/>
        <v>-18961.124211457118</v>
      </c>
    </row>
    <row r="135" spans="1:18" ht="12.75">
      <c r="A135" s="285">
        <f>A134+1</f>
        <v>71</v>
      </c>
      <c r="B135" s="355" t="s">
        <v>324</v>
      </c>
      <c r="C135" s="295" t="s">
        <v>304</v>
      </c>
      <c r="D135" s="297"/>
      <c r="E135" s="297">
        <v>392169.6666666667</v>
      </c>
      <c r="F135" s="297">
        <v>-1741886.9187777783</v>
      </c>
      <c r="G135" s="366"/>
      <c r="H135" s="352">
        <f t="shared" si="16"/>
        <v>392169.6666666667</v>
      </c>
      <c r="I135" s="297">
        <v>-1869342.0604444447</v>
      </c>
      <c r="J135" s="334">
        <v>40908</v>
      </c>
      <c r="K135" s="369"/>
      <c r="L135" s="311">
        <v>0.069</v>
      </c>
      <c r="M135" s="312">
        <v>-128984.60217066667</v>
      </c>
      <c r="N135" s="312">
        <f t="shared" si="17"/>
        <v>-198437.8494933333</v>
      </c>
      <c r="O135" s="306">
        <f t="shared" si="18"/>
        <v>-16536.487457777777</v>
      </c>
      <c r="Q135" s="346"/>
      <c r="R135" s="346"/>
    </row>
    <row r="136" spans="1:18" ht="12.75">
      <c r="A136" s="285">
        <f>A135+1</f>
        <v>72</v>
      </c>
      <c r="B136" s="355" t="s">
        <v>326</v>
      </c>
      <c r="C136" s="295" t="s">
        <v>304</v>
      </c>
      <c r="D136" s="297"/>
      <c r="E136" s="297">
        <v>392169.6666666667</v>
      </c>
      <c r="F136" s="297">
        <v>-1486976.6354444453</v>
      </c>
      <c r="G136" s="366"/>
      <c r="H136" s="352">
        <f t="shared" si="16"/>
        <v>392169.6666666667</v>
      </c>
      <c r="I136" s="297">
        <v>-1614431.7771111114</v>
      </c>
      <c r="J136" s="334">
        <v>41274</v>
      </c>
      <c r="K136" s="369"/>
      <c r="L136" s="345" t="s">
        <v>327</v>
      </c>
      <c r="M136" s="312">
        <v>-115622.06539609043</v>
      </c>
      <c r="N136" s="312">
        <f t="shared" si="17"/>
        <v>-177880.1006093699</v>
      </c>
      <c r="O136" s="306">
        <f t="shared" si="18"/>
        <v>-14823.34171744749</v>
      </c>
      <c r="Q136" s="346"/>
      <c r="R136" s="346"/>
    </row>
    <row r="137" spans="1:18" ht="12.75">
      <c r="A137" s="285">
        <f>A136+1</f>
        <v>73</v>
      </c>
      <c r="B137" s="355" t="s">
        <v>328</v>
      </c>
      <c r="C137" s="295" t="s">
        <v>304</v>
      </c>
      <c r="D137" s="297"/>
      <c r="E137" s="297">
        <v>392169.6666666667</v>
      </c>
      <c r="F137" s="297">
        <v>-1232066.3521111123</v>
      </c>
      <c r="G137" s="366"/>
      <c r="H137" s="352">
        <f t="shared" si="16"/>
        <v>392169.6666666667</v>
      </c>
      <c r="I137" s="297">
        <v>-1359521.4937777787</v>
      </c>
      <c r="J137" s="334">
        <v>41639</v>
      </c>
      <c r="K137" s="369"/>
      <c r="L137" s="311">
        <f>$O$3</f>
        <v>0.0729</v>
      </c>
      <c r="M137" s="312">
        <f aca="true" t="shared" si="19" ref="M137:M143">I137*L137</f>
        <v>-99109.11689640008</v>
      </c>
      <c r="N137" s="312">
        <f t="shared" si="17"/>
        <v>-152475.5644560001</v>
      </c>
      <c r="O137" s="306">
        <f t="shared" si="18"/>
        <v>-12706.29703800001</v>
      </c>
      <c r="Q137" s="346"/>
      <c r="R137" s="346"/>
    </row>
    <row r="138" spans="1:15" ht="12.75" hidden="1">
      <c r="A138" s="285">
        <f>ROW()</f>
        <v>138</v>
      </c>
      <c r="B138" s="355" t="s">
        <v>329</v>
      </c>
      <c r="C138" s="295" t="s">
        <v>304</v>
      </c>
      <c r="D138" s="297"/>
      <c r="E138" s="297">
        <v>392169.6666666667</v>
      </c>
      <c r="F138" s="297">
        <v>-977156.0687777794</v>
      </c>
      <c r="G138" s="366"/>
      <c r="H138" s="352">
        <f t="shared" si="16"/>
        <v>392169.6666666667</v>
      </c>
      <c r="I138" s="297">
        <v>-1104611.2104444457</v>
      </c>
      <c r="J138" s="334">
        <v>42004</v>
      </c>
      <c r="K138" s="369"/>
      <c r="L138" s="302">
        <f aca="true" t="shared" si="20" ref="L138:L143">$O$2</f>
        <v>0.069</v>
      </c>
      <c r="M138" s="312">
        <f t="shared" si="19"/>
        <v>-76218.17352066677</v>
      </c>
      <c r="N138" s="312">
        <f t="shared" si="17"/>
        <v>-117258.72849333347</v>
      </c>
      <c r="O138" s="306">
        <f t="shared" si="18"/>
        <v>-9771.56070777779</v>
      </c>
    </row>
    <row r="139" spans="1:15" ht="12.75" hidden="1">
      <c r="A139" s="285">
        <f>ROW()</f>
        <v>139</v>
      </c>
      <c r="B139" s="355" t="s">
        <v>330</v>
      </c>
      <c r="C139" s="295" t="s">
        <v>304</v>
      </c>
      <c r="D139" s="297"/>
      <c r="E139" s="297">
        <v>392169.6666666667</v>
      </c>
      <c r="F139" s="297">
        <v>-722245.7854444463</v>
      </c>
      <c r="G139" s="366"/>
      <c r="H139" s="352">
        <f t="shared" si="16"/>
        <v>392169.6666666667</v>
      </c>
      <c r="I139" s="297">
        <v>-849700.9271111129</v>
      </c>
      <c r="J139" s="334">
        <v>42369</v>
      </c>
      <c r="K139" s="369"/>
      <c r="L139" s="302">
        <f t="shared" si="20"/>
        <v>0.069</v>
      </c>
      <c r="M139" s="312">
        <f t="shared" si="19"/>
        <v>-58629.36397066679</v>
      </c>
      <c r="N139" s="312">
        <f t="shared" si="17"/>
        <v>-90199.02149333352</v>
      </c>
      <c r="O139" s="306">
        <f t="shared" si="18"/>
        <v>-7516.58512444446</v>
      </c>
    </row>
    <row r="140" spans="1:15" ht="12.75" hidden="1">
      <c r="A140" s="285">
        <f>ROW()</f>
        <v>140</v>
      </c>
      <c r="B140" s="355" t="s">
        <v>331</v>
      </c>
      <c r="C140" s="295" t="s">
        <v>304</v>
      </c>
      <c r="D140" s="297"/>
      <c r="E140" s="297">
        <v>392169.6666666667</v>
      </c>
      <c r="F140" s="297">
        <v>-467335.5021111133</v>
      </c>
      <c r="G140" s="366"/>
      <c r="H140" s="352">
        <f t="shared" si="16"/>
        <v>392169.6666666667</v>
      </c>
      <c r="I140" s="297">
        <v>-594790.6437777798</v>
      </c>
      <c r="J140" s="334">
        <v>42735</v>
      </c>
      <c r="K140" s="369"/>
      <c r="L140" s="302">
        <f t="shared" si="20"/>
        <v>0.069</v>
      </c>
      <c r="M140" s="312">
        <f t="shared" si="19"/>
        <v>-41040.554420666806</v>
      </c>
      <c r="N140" s="312">
        <f t="shared" si="17"/>
        <v>-63139.31449333354</v>
      </c>
      <c r="O140" s="306">
        <f t="shared" si="18"/>
        <v>-5261.609541111128</v>
      </c>
    </row>
    <row r="141" spans="1:15" ht="12.75" hidden="1">
      <c r="A141" s="285">
        <f>ROW()</f>
        <v>141</v>
      </c>
      <c r="B141" s="355" t="s">
        <v>332</v>
      </c>
      <c r="C141" s="295" t="s">
        <v>304</v>
      </c>
      <c r="D141" s="297"/>
      <c r="E141" s="297">
        <v>392169.6666666667</v>
      </c>
      <c r="F141" s="297">
        <v>-212425.21877778036</v>
      </c>
      <c r="G141" s="366"/>
      <c r="H141" s="352">
        <f t="shared" si="16"/>
        <v>392169.6666666667</v>
      </c>
      <c r="I141" s="297">
        <v>-339880.36044444685</v>
      </c>
      <c r="J141" s="334">
        <v>43100</v>
      </c>
      <c r="K141" s="369"/>
      <c r="L141" s="302">
        <f t="shared" si="20"/>
        <v>0.069</v>
      </c>
      <c r="M141" s="312">
        <f t="shared" si="19"/>
        <v>-23451.744870666833</v>
      </c>
      <c r="N141" s="312">
        <f t="shared" si="17"/>
        <v>-36079.60749333359</v>
      </c>
      <c r="O141" s="306">
        <f t="shared" si="18"/>
        <v>-3006.6339577777994</v>
      </c>
    </row>
    <row r="142" spans="1:15" ht="12.75" hidden="1">
      <c r="A142" s="285">
        <f>ROW()</f>
        <v>142</v>
      </c>
      <c r="B142" s="355" t="s">
        <v>349</v>
      </c>
      <c r="C142" s="295" t="s">
        <v>304</v>
      </c>
      <c r="D142" s="297"/>
      <c r="E142" s="297">
        <v>326808.05555555556</v>
      </c>
      <c r="F142" s="297">
        <v>0.017333330423571172</v>
      </c>
      <c r="G142" s="366"/>
      <c r="H142" s="352">
        <f t="shared" si="16"/>
        <v>326808.05555555556</v>
      </c>
      <c r="I142" s="297">
        <v>-88510.49771296572</v>
      </c>
      <c r="J142" s="334">
        <v>43465</v>
      </c>
      <c r="K142" s="369"/>
      <c r="L142" s="302">
        <f t="shared" si="20"/>
        <v>0.069</v>
      </c>
      <c r="M142" s="312">
        <f t="shared" si="19"/>
        <v>-6107.224342194635</v>
      </c>
      <c r="N142" s="312">
        <f t="shared" si="17"/>
        <v>-9395.729757222514</v>
      </c>
      <c r="O142" s="306">
        <f t="shared" si="18"/>
        <v>-782.9774797685428</v>
      </c>
    </row>
    <row r="143" spans="1:15" ht="12.75" hidden="1">
      <c r="A143" s="285">
        <f>ROW()</f>
        <v>143</v>
      </c>
      <c r="B143" s="355" t="s">
        <v>350</v>
      </c>
      <c r="C143" s="295" t="s">
        <v>304</v>
      </c>
      <c r="D143" s="297"/>
      <c r="E143" s="297">
        <v>0</v>
      </c>
      <c r="F143" s="297">
        <v>0.017333330423571172</v>
      </c>
      <c r="G143" s="366"/>
      <c r="H143" s="352">
        <f t="shared" si="16"/>
        <v>0</v>
      </c>
      <c r="I143" s="297">
        <v>0.01733333042357117</v>
      </c>
      <c r="J143" s="334">
        <v>43830</v>
      </c>
      <c r="K143" s="369"/>
      <c r="L143" s="302">
        <f t="shared" si="20"/>
        <v>0.069</v>
      </c>
      <c r="M143" s="312">
        <f t="shared" si="19"/>
        <v>0.0011959997992264106</v>
      </c>
      <c r="N143" s="312">
        <f t="shared" si="17"/>
        <v>0.0018399996911175548</v>
      </c>
      <c r="O143" s="306">
        <f t="shared" si="18"/>
        <v>0.00015333330759312956</v>
      </c>
    </row>
    <row r="144" spans="1:15" ht="12.75">
      <c r="A144" s="335">
        <v>74</v>
      </c>
      <c r="B144" s="382"/>
      <c r="C144" s="337"/>
      <c r="D144" s="315"/>
      <c r="E144" s="315"/>
      <c r="F144" s="315"/>
      <c r="G144" s="378"/>
      <c r="H144" s="383"/>
      <c r="I144" s="315"/>
      <c r="J144" s="319"/>
      <c r="K144" s="380"/>
      <c r="L144" s="321"/>
      <c r="M144" s="322"/>
      <c r="N144" s="322"/>
      <c r="O144" s="347"/>
    </row>
    <row r="145" spans="1:15" ht="12.75">
      <c r="A145" s="285">
        <v>75</v>
      </c>
      <c r="B145" s="293" t="s">
        <v>351</v>
      </c>
      <c r="C145" s="295"/>
      <c r="D145" s="297"/>
      <c r="E145" s="297"/>
      <c r="F145" s="367"/>
      <c r="G145" s="384"/>
      <c r="H145" s="342" t="s">
        <v>352</v>
      </c>
      <c r="I145" s="302"/>
      <c r="J145" s="312"/>
      <c r="K145" s="312"/>
      <c r="L145" s="306"/>
      <c r="M145" s="312"/>
      <c r="N145" s="312"/>
      <c r="O145" s="306"/>
    </row>
    <row r="146" spans="1:15" ht="12.75" hidden="1">
      <c r="A146" s="285">
        <f>ROW()</f>
        <v>146</v>
      </c>
      <c r="B146" s="355" t="s">
        <v>315</v>
      </c>
      <c r="C146" s="295"/>
      <c r="D146" s="297"/>
      <c r="E146" s="297">
        <v>0</v>
      </c>
      <c r="F146" s="297" t="e">
        <v>#REF!</v>
      </c>
      <c r="G146" s="384"/>
      <c r="H146" s="304">
        <v>0</v>
      </c>
      <c r="I146" s="385">
        <v>76376.54166666667</v>
      </c>
      <c r="J146" s="334">
        <v>39813</v>
      </c>
      <c r="K146" s="312"/>
      <c r="L146" s="386" t="s">
        <v>353</v>
      </c>
      <c r="M146" s="312"/>
      <c r="N146" s="312"/>
      <c r="O146" s="306">
        <f>N146/12</f>
        <v>0</v>
      </c>
    </row>
    <row r="147" spans="1:15" ht="12.75" hidden="1">
      <c r="A147" s="285">
        <f>ROW()</f>
        <v>147</v>
      </c>
      <c r="B147" s="355" t="s">
        <v>317</v>
      </c>
      <c r="C147" s="295"/>
      <c r="D147" s="297"/>
      <c r="E147" s="297">
        <v>0</v>
      </c>
      <c r="F147" s="297"/>
      <c r="G147" s="384"/>
      <c r="H147" s="304"/>
      <c r="I147" s="387"/>
      <c r="J147" s="334">
        <v>40178</v>
      </c>
      <c r="K147" s="312"/>
      <c r="L147" s="386" t="s">
        <v>353</v>
      </c>
      <c r="M147" s="312"/>
      <c r="N147" s="312"/>
      <c r="O147" s="306">
        <f>N147/12</f>
        <v>0</v>
      </c>
    </row>
    <row r="148" spans="1:15" ht="12.75">
      <c r="A148" s="285">
        <v>76</v>
      </c>
      <c r="B148" s="355" t="s">
        <v>322</v>
      </c>
      <c r="C148" s="295"/>
      <c r="D148" s="297"/>
      <c r="E148" s="297">
        <v>-2159053</v>
      </c>
      <c r="F148" s="297">
        <v>26614738.14086189</v>
      </c>
      <c r="G148" s="366"/>
      <c r="H148" s="352">
        <f>E148</f>
        <v>-2159053</v>
      </c>
      <c r="I148" s="387">
        <v>26528891.378850214</v>
      </c>
      <c r="J148" s="334">
        <v>40543</v>
      </c>
      <c r="K148" s="369"/>
      <c r="L148" s="345" t="s">
        <v>323</v>
      </c>
      <c r="M148" s="312">
        <v>1344033.5873361593</v>
      </c>
      <c r="N148" s="312">
        <f>+M148/(1-0.35)</f>
        <v>2067743.980517168</v>
      </c>
      <c r="O148" s="306">
        <f>N148/9</f>
        <v>229749.33116857422</v>
      </c>
    </row>
    <row r="149" spans="1:18" ht="12.75">
      <c r="A149" s="285">
        <v>77</v>
      </c>
      <c r="B149" s="355" t="s">
        <v>324</v>
      </c>
      <c r="C149" s="295"/>
      <c r="D149" s="297"/>
      <c r="E149" s="297">
        <v>-2885052</v>
      </c>
      <c r="F149" s="297">
        <v>24739454.340861887</v>
      </c>
      <c r="G149" s="366"/>
      <c r="H149" s="352">
        <f>E149</f>
        <v>-2885052</v>
      </c>
      <c r="I149" s="387">
        <v>25677096.240861878</v>
      </c>
      <c r="J149" s="334">
        <v>40908</v>
      </c>
      <c r="K149" s="369"/>
      <c r="L149" s="311">
        <v>0.069</v>
      </c>
      <c r="M149" s="312">
        <v>1771719.640619471</v>
      </c>
      <c r="N149" s="312">
        <f>+M149/(1-0.35)</f>
        <v>2725722.5240299553</v>
      </c>
      <c r="O149" s="306">
        <f>N149/12</f>
        <v>227143.54366916293</v>
      </c>
      <c r="Q149" s="346"/>
      <c r="R149" s="346"/>
    </row>
    <row r="150" spans="1:18" ht="12.75">
      <c r="A150" s="285">
        <v>78</v>
      </c>
      <c r="B150" s="355" t="s">
        <v>326</v>
      </c>
      <c r="C150" s="295"/>
      <c r="D150" s="297"/>
      <c r="E150" s="297">
        <v>-2876471.890323732</v>
      </c>
      <c r="F150" s="297">
        <v>22869747.61215146</v>
      </c>
      <c r="G150" s="366"/>
      <c r="H150" s="352">
        <f>E150</f>
        <v>-2876471.890323732</v>
      </c>
      <c r="I150" s="387">
        <v>23803671.464625068</v>
      </c>
      <c r="J150" s="334">
        <v>41274</v>
      </c>
      <c r="K150" s="369"/>
      <c r="L150" s="345" t="s">
        <v>327</v>
      </c>
      <c r="M150" s="312">
        <v>1704766.7778658408</v>
      </c>
      <c r="N150" s="312">
        <f>+M150/(1-0.35)</f>
        <v>2622718.1197936013</v>
      </c>
      <c r="O150" s="306">
        <f>N150/12</f>
        <v>218559.84331613345</v>
      </c>
      <c r="Q150" s="346"/>
      <c r="R150" s="346"/>
    </row>
    <row r="151" spans="1:18" ht="12.75">
      <c r="A151" s="372">
        <v>79</v>
      </c>
      <c r="B151" s="388" t="s">
        <v>328</v>
      </c>
      <c r="C151" s="359"/>
      <c r="D151" s="326"/>
      <c r="E151" s="326">
        <v>-2872181.8354855985</v>
      </c>
      <c r="F151" s="326">
        <v>21002829.41908583</v>
      </c>
      <c r="G151" s="373"/>
      <c r="H151" s="389">
        <f>E151</f>
        <v>-2872181.8354855985</v>
      </c>
      <c r="I151" s="390">
        <v>21936288.515618637</v>
      </c>
      <c r="J151" s="330">
        <v>41639</v>
      </c>
      <c r="K151" s="376"/>
      <c r="L151" s="361">
        <f>$O$3</f>
        <v>0.0729</v>
      </c>
      <c r="M151" s="332">
        <f>I151*L151</f>
        <v>1599155.4327885988</v>
      </c>
      <c r="N151" s="332">
        <f>+M151/(1-0.35)</f>
        <v>2460239.127367075</v>
      </c>
      <c r="O151" s="362">
        <f>N151/12</f>
        <v>205019.9272805896</v>
      </c>
      <c r="Q151" s="346"/>
      <c r="R151" s="346"/>
    </row>
    <row r="152" spans="1:15" ht="12.75" hidden="1">
      <c r="A152" s="391">
        <f>ROW()</f>
        <v>152</v>
      </c>
      <c r="B152" s="392" t="s">
        <v>329</v>
      </c>
      <c r="C152" s="393"/>
      <c r="D152" s="394"/>
      <c r="E152" s="394">
        <v>-2872181.8354855985</v>
      </c>
      <c r="F152" s="394">
        <v>19135911.226020202</v>
      </c>
      <c r="G152" s="395"/>
      <c r="H152" s="396">
        <f>E152</f>
        <v>-2872181.8354855985</v>
      </c>
      <c r="I152" s="397">
        <v>20069370.32255301</v>
      </c>
      <c r="J152" s="398">
        <v>42004</v>
      </c>
      <c r="K152" s="399"/>
      <c r="L152" s="400">
        <v>0.0729</v>
      </c>
      <c r="M152" s="401">
        <f>I152*L152</f>
        <v>1463057.0965141144</v>
      </c>
      <c r="N152" s="401">
        <f>+M152/(1-0.35)</f>
        <v>2250857.071560176</v>
      </c>
      <c r="O152" s="402">
        <f>N152/12</f>
        <v>187571.42263001468</v>
      </c>
    </row>
    <row r="153" spans="1:15" ht="12.75">
      <c r="A153" s="335">
        <v>80</v>
      </c>
      <c r="B153" s="382"/>
      <c r="C153" s="337"/>
      <c r="D153" s="315"/>
      <c r="E153" s="315"/>
      <c r="F153" s="315"/>
      <c r="G153" s="378"/>
      <c r="H153" s="383"/>
      <c r="I153" s="315"/>
      <c r="J153" s="319"/>
      <c r="K153" s="380"/>
      <c r="L153" s="321"/>
      <c r="M153" s="322"/>
      <c r="N153" s="322"/>
      <c r="O153" s="347"/>
    </row>
    <row r="154" spans="1:15" ht="12.75">
      <c r="A154" s="285">
        <v>81</v>
      </c>
      <c r="B154" s="293" t="s">
        <v>354</v>
      </c>
      <c r="C154" s="295"/>
      <c r="D154" s="297"/>
      <c r="E154" s="367"/>
      <c r="F154" s="367"/>
      <c r="G154" s="384"/>
      <c r="H154" s="342" t="s">
        <v>355</v>
      </c>
      <c r="I154" s="302"/>
      <c r="J154" s="312"/>
      <c r="K154" s="312"/>
      <c r="L154" s="302"/>
      <c r="M154" s="312"/>
      <c r="N154" s="312"/>
      <c r="O154" s="306"/>
    </row>
    <row r="155" spans="1:15" ht="12.75" hidden="1">
      <c r="A155" s="285">
        <f>ROW()</f>
        <v>155</v>
      </c>
      <c r="B155" s="355" t="s">
        <v>317</v>
      </c>
      <c r="C155" s="295"/>
      <c r="D155" s="297"/>
      <c r="E155" s="297">
        <v>0</v>
      </c>
      <c r="F155" s="297"/>
      <c r="G155" s="366"/>
      <c r="H155" s="352"/>
      <c r="I155" s="297"/>
      <c r="J155" s="334">
        <v>40178</v>
      </c>
      <c r="K155" s="369"/>
      <c r="L155" s="386" t="s">
        <v>353</v>
      </c>
      <c r="M155" s="312"/>
      <c r="N155" s="312">
        <f>+M155/(1-0.35)</f>
        <v>0</v>
      </c>
      <c r="O155" s="306">
        <f>N155/12</f>
        <v>0</v>
      </c>
    </row>
    <row r="156" spans="1:15" ht="12.75">
      <c r="A156" s="285">
        <v>82</v>
      </c>
      <c r="B156" s="355" t="s">
        <v>322</v>
      </c>
      <c r="C156" s="295"/>
      <c r="D156" s="297"/>
      <c r="E156" s="297">
        <v>-2102005.908375584</v>
      </c>
      <c r="F156" s="297">
        <v>1752245.1082231905</v>
      </c>
      <c r="G156" s="366"/>
      <c r="H156" s="352">
        <f>E156</f>
        <v>-2102005.908375584</v>
      </c>
      <c r="I156" s="297">
        <v>2331346.6928644767</v>
      </c>
      <c r="J156" s="334">
        <v>40543</v>
      </c>
      <c r="K156" s="369"/>
      <c r="L156" s="345" t="s">
        <v>323</v>
      </c>
      <c r="M156" s="403">
        <v>118113.04943684905</v>
      </c>
      <c r="N156" s="312">
        <f>+M156/(1-0.35)</f>
        <v>181712.38374899852</v>
      </c>
      <c r="O156" s="306">
        <f>N156/9</f>
        <v>20190.264860999836</v>
      </c>
    </row>
    <row r="157" spans="1:18" ht="12.75">
      <c r="A157" s="372">
        <v>83</v>
      </c>
      <c r="B157" s="388" t="s">
        <v>324</v>
      </c>
      <c r="C157" s="359"/>
      <c r="D157" s="326"/>
      <c r="E157" s="326">
        <v>-2695758.4116244176</v>
      </c>
      <c r="F157" s="326">
        <v>0</v>
      </c>
      <c r="G157" s="373"/>
      <c r="H157" s="389">
        <f>E157</f>
        <v>-2695758.4116244176</v>
      </c>
      <c r="I157" s="326">
        <v>839626.1145184203</v>
      </c>
      <c r="J157" s="330">
        <v>40908</v>
      </c>
      <c r="K157" s="376"/>
      <c r="L157" s="361">
        <v>0.069</v>
      </c>
      <c r="M157" s="332">
        <v>57934.201901770975</v>
      </c>
      <c r="N157" s="332">
        <f>+M157/(1-0.35)</f>
        <v>89129.54138733995</v>
      </c>
      <c r="O157" s="362">
        <f>N157/12</f>
        <v>7427.461782278329</v>
      </c>
      <c r="Q157" s="346"/>
      <c r="R157" s="346"/>
    </row>
    <row r="158" spans="1:15" ht="12.75">
      <c r="A158" s="335">
        <v>84</v>
      </c>
      <c r="B158" s="382"/>
      <c r="C158" s="337"/>
      <c r="D158" s="315"/>
      <c r="E158" s="315"/>
      <c r="F158" s="315"/>
      <c r="G158" s="378"/>
      <c r="H158" s="383"/>
      <c r="I158" s="315"/>
      <c r="J158" s="319"/>
      <c r="K158" s="380"/>
      <c r="L158" s="321"/>
      <c r="M158" s="322"/>
      <c r="N158" s="322"/>
      <c r="O158" s="347"/>
    </row>
    <row r="159" spans="1:15" ht="12.75">
      <c r="A159" s="285">
        <v>85</v>
      </c>
      <c r="B159" s="293" t="s">
        <v>356</v>
      </c>
      <c r="C159" s="295"/>
      <c r="D159" s="297"/>
      <c r="E159" s="297"/>
      <c r="F159" s="367"/>
      <c r="G159" s="366"/>
      <c r="H159" s="342" t="s">
        <v>357</v>
      </c>
      <c r="I159" s="297"/>
      <c r="J159" s="334"/>
      <c r="K159" s="369"/>
      <c r="L159" s="302"/>
      <c r="M159" s="312"/>
      <c r="N159" s="312"/>
      <c r="O159" s="306"/>
    </row>
    <row r="160" spans="1:15" ht="12.75">
      <c r="A160" s="285">
        <v>86</v>
      </c>
      <c r="B160" s="355" t="s">
        <v>322</v>
      </c>
      <c r="C160" s="295"/>
      <c r="D160" s="297"/>
      <c r="E160" s="297">
        <v>403219.66019417474</v>
      </c>
      <c r="F160" s="297">
        <v>-2737413.470873787</v>
      </c>
      <c r="G160" s="366"/>
      <c r="H160" s="352">
        <f aca="true" t="shared" si="21" ref="H160:H168">E160</f>
        <v>403219.66019417474</v>
      </c>
      <c r="I160" s="297">
        <v>-2267178.4245550167</v>
      </c>
      <c r="J160" s="334">
        <v>40543</v>
      </c>
      <c r="K160" s="369"/>
      <c r="L160" s="345" t="s">
        <v>323</v>
      </c>
      <c r="M160" s="312">
        <v>-127036.52914794302</v>
      </c>
      <c r="N160" s="312">
        <f aca="true" t="shared" si="22" ref="N160:N168">+M160/(1-0.35)</f>
        <v>-195440.8140737585</v>
      </c>
      <c r="O160" s="306">
        <f>N160/((296/365)*12)</f>
        <v>-20083.304374133404</v>
      </c>
    </row>
    <row r="161" spans="1:18" ht="12.75">
      <c r="A161" s="285">
        <v>87</v>
      </c>
      <c r="B161" s="355" t="s">
        <v>324</v>
      </c>
      <c r="C161" s="295"/>
      <c r="D161" s="297"/>
      <c r="E161" s="297">
        <v>537626.2135922329</v>
      </c>
      <c r="F161" s="297">
        <v>-2387956.4320388352</v>
      </c>
      <c r="G161" s="366"/>
      <c r="H161" s="352">
        <f t="shared" si="21"/>
        <v>537626.2135922329</v>
      </c>
      <c r="I161" s="297">
        <v>-2562684.951456311</v>
      </c>
      <c r="J161" s="334">
        <v>40908</v>
      </c>
      <c r="K161" s="369"/>
      <c r="L161" s="311">
        <v>0.069</v>
      </c>
      <c r="M161" s="312">
        <v>-176825.26165048545</v>
      </c>
      <c r="N161" s="312">
        <f t="shared" si="22"/>
        <v>-272038.8640776699</v>
      </c>
      <c r="O161" s="306">
        <f aca="true" t="shared" si="23" ref="O161:O168">N161/12</f>
        <v>-22669.905339805828</v>
      </c>
      <c r="Q161" s="346"/>
      <c r="R161" s="346"/>
    </row>
    <row r="162" spans="1:18" ht="12.75">
      <c r="A162" s="285">
        <v>88</v>
      </c>
      <c r="B162" s="355" t="s">
        <v>326</v>
      </c>
      <c r="C162" s="295"/>
      <c r="D162" s="297"/>
      <c r="E162" s="297">
        <v>537626.2135922329</v>
      </c>
      <c r="F162" s="297">
        <v>-2038499.3932038834</v>
      </c>
      <c r="G162" s="366"/>
      <c r="H162" s="352">
        <f t="shared" si="21"/>
        <v>537626.2135922329</v>
      </c>
      <c r="I162" s="297">
        <v>-2213227.9126213593</v>
      </c>
      <c r="J162" s="334">
        <v>41274</v>
      </c>
      <c r="K162" s="369"/>
      <c r="L162" s="345" t="s">
        <v>327</v>
      </c>
      <c r="M162" s="312">
        <v>-158506.5321914483</v>
      </c>
      <c r="N162" s="312">
        <f t="shared" si="22"/>
        <v>-243856.2033714589</v>
      </c>
      <c r="O162" s="306">
        <f t="shared" si="23"/>
        <v>-20321.350280954906</v>
      </c>
      <c r="Q162" s="346"/>
      <c r="R162" s="346"/>
    </row>
    <row r="163" spans="1:18" ht="12.75" hidden="1">
      <c r="A163" s="285">
        <f>ROW()</f>
        <v>163</v>
      </c>
      <c r="B163" s="355" t="s">
        <v>328</v>
      </c>
      <c r="C163" s="295"/>
      <c r="D163" s="297"/>
      <c r="E163" s="297">
        <v>537626.213592233</v>
      </c>
      <c r="F163" s="297">
        <v>-1689042.3543689311</v>
      </c>
      <c r="G163" s="366"/>
      <c r="H163" s="352">
        <f t="shared" si="21"/>
        <v>537626.213592233</v>
      </c>
      <c r="I163" s="297">
        <v>-1863770.8737864075</v>
      </c>
      <c r="J163" s="334">
        <v>41639</v>
      </c>
      <c r="K163" s="369"/>
      <c r="L163" s="311">
        <f>$O$3</f>
        <v>0.0729</v>
      </c>
      <c r="M163" s="312">
        <f aca="true" t="shared" si="24" ref="M163:M168">I163*L163</f>
        <v>-135868.8966990291</v>
      </c>
      <c r="N163" s="312">
        <f t="shared" si="22"/>
        <v>-209029.07184466015</v>
      </c>
      <c r="O163" s="306">
        <f t="shared" si="23"/>
        <v>-17419.089320388346</v>
      </c>
      <c r="Q163" s="346"/>
      <c r="R163" s="346"/>
    </row>
    <row r="164" spans="1:15" ht="12.75" hidden="1">
      <c r="A164" s="285">
        <f>ROW()</f>
        <v>164</v>
      </c>
      <c r="B164" s="355" t="s">
        <v>329</v>
      </c>
      <c r="C164" s="295"/>
      <c r="D164" s="297"/>
      <c r="E164" s="297">
        <v>537626.2135922329</v>
      </c>
      <c r="F164" s="297">
        <v>-1339585.3155339805</v>
      </c>
      <c r="G164" s="366"/>
      <c r="H164" s="352">
        <f t="shared" si="21"/>
        <v>537626.2135922329</v>
      </c>
      <c r="I164" s="297">
        <v>-1514313.834951456</v>
      </c>
      <c r="J164" s="334">
        <v>42004</v>
      </c>
      <c r="K164" s="369"/>
      <c r="L164" s="302">
        <f>$O$2</f>
        <v>0.069</v>
      </c>
      <c r="M164" s="312">
        <f t="shared" si="24"/>
        <v>-104487.65461165046</v>
      </c>
      <c r="N164" s="312">
        <f t="shared" si="22"/>
        <v>-160750.23786407762</v>
      </c>
      <c r="O164" s="306">
        <f t="shared" si="23"/>
        <v>-13395.8531553398</v>
      </c>
    </row>
    <row r="165" spans="1:15" ht="12.75" hidden="1">
      <c r="A165" s="285">
        <f>ROW()</f>
        <v>165</v>
      </c>
      <c r="B165" s="355" t="s">
        <v>330</v>
      </c>
      <c r="C165" s="295"/>
      <c r="D165" s="297"/>
      <c r="E165" s="297">
        <v>537626.2135922329</v>
      </c>
      <c r="F165" s="297">
        <v>-990128.2766990302</v>
      </c>
      <c r="G165" s="366"/>
      <c r="H165" s="352">
        <f t="shared" si="21"/>
        <v>537626.2135922329</v>
      </c>
      <c r="I165" s="297">
        <v>-1164856.7961165055</v>
      </c>
      <c r="J165" s="334">
        <v>42369</v>
      </c>
      <c r="K165" s="369"/>
      <c r="L165" s="302">
        <f>$O$2</f>
        <v>0.069</v>
      </c>
      <c r="M165" s="312">
        <f t="shared" si="24"/>
        <v>-80375.11893203888</v>
      </c>
      <c r="N165" s="312">
        <f t="shared" si="22"/>
        <v>-123654.02912621366</v>
      </c>
      <c r="O165" s="306">
        <f t="shared" si="23"/>
        <v>-10304.502427184472</v>
      </c>
    </row>
    <row r="166" spans="1:15" ht="12.75" hidden="1">
      <c r="A166" s="285">
        <f>ROW()</f>
        <v>166</v>
      </c>
      <c r="B166" s="355" t="s">
        <v>331</v>
      </c>
      <c r="C166" s="295"/>
      <c r="D166" s="297"/>
      <c r="E166" s="297">
        <v>537626.2135922329</v>
      </c>
      <c r="F166" s="297">
        <v>-640671.2378640799</v>
      </c>
      <c r="G166" s="366"/>
      <c r="H166" s="352">
        <f t="shared" si="21"/>
        <v>537626.2135922329</v>
      </c>
      <c r="I166" s="297">
        <v>-815399.757281555</v>
      </c>
      <c r="J166" s="334">
        <v>42735</v>
      </c>
      <c r="K166" s="369"/>
      <c r="L166" s="302">
        <f>$O$2</f>
        <v>0.069</v>
      </c>
      <c r="M166" s="312">
        <f t="shared" si="24"/>
        <v>-56262.5832524273</v>
      </c>
      <c r="N166" s="312">
        <f t="shared" si="22"/>
        <v>-86557.82038834969</v>
      </c>
      <c r="O166" s="306">
        <f t="shared" si="23"/>
        <v>-7213.151699029141</v>
      </c>
    </row>
    <row r="167" spans="1:15" ht="12.75" hidden="1">
      <c r="A167" s="285">
        <f>ROW()</f>
        <v>167</v>
      </c>
      <c r="B167" s="355" t="s">
        <v>332</v>
      </c>
      <c r="C167" s="295"/>
      <c r="D167" s="297"/>
      <c r="E167" s="297">
        <v>537626.2135922329</v>
      </c>
      <c r="F167" s="297">
        <v>-291214.1990291295</v>
      </c>
      <c r="G167" s="366"/>
      <c r="H167" s="352">
        <f t="shared" si="21"/>
        <v>537626.2135922329</v>
      </c>
      <c r="I167" s="297">
        <v>-465942.7184466047</v>
      </c>
      <c r="J167" s="334">
        <v>43100</v>
      </c>
      <c r="K167" s="369"/>
      <c r="L167" s="302">
        <f>$O$2</f>
        <v>0.069</v>
      </c>
      <c r="M167" s="312">
        <f t="shared" si="24"/>
        <v>-32150.047572815725</v>
      </c>
      <c r="N167" s="312">
        <f t="shared" si="22"/>
        <v>-49461.61165048573</v>
      </c>
      <c r="O167" s="306">
        <f t="shared" si="23"/>
        <v>-4121.800970873811</v>
      </c>
    </row>
    <row r="168" spans="1:15" ht="12.75" hidden="1">
      <c r="A168" s="285">
        <f>ROW()</f>
        <v>168</v>
      </c>
      <c r="B168" s="355" t="s">
        <v>349</v>
      </c>
      <c r="C168" s="295"/>
      <c r="D168" s="297"/>
      <c r="E168" s="297">
        <v>448021.8446601941</v>
      </c>
      <c r="F168" s="297">
        <v>0</v>
      </c>
      <c r="G168" s="366"/>
      <c r="H168" s="352">
        <f t="shared" si="21"/>
        <v>448021.8446601941</v>
      </c>
      <c r="I168" s="297">
        <v>-121339.24959547223</v>
      </c>
      <c r="J168" s="334">
        <v>43465</v>
      </c>
      <c r="K168" s="369"/>
      <c r="L168" s="302">
        <f>$O$2</f>
        <v>0.069</v>
      </c>
      <c r="M168" s="312">
        <f t="shared" si="24"/>
        <v>-8372.408222087584</v>
      </c>
      <c r="N168" s="312">
        <f t="shared" si="22"/>
        <v>-12880.628033980898</v>
      </c>
      <c r="O168" s="306">
        <f t="shared" si="23"/>
        <v>-1073.385669498408</v>
      </c>
    </row>
    <row r="169" spans="1:15" ht="12.75">
      <c r="A169" s="335">
        <v>89</v>
      </c>
      <c r="B169" s="382"/>
      <c r="C169" s="337"/>
      <c r="D169" s="315"/>
      <c r="E169" s="315"/>
      <c r="F169" s="315"/>
      <c r="G169" s="378"/>
      <c r="H169" s="383"/>
      <c r="I169" s="315"/>
      <c r="J169" s="319"/>
      <c r="K169" s="380"/>
      <c r="L169" s="321"/>
      <c r="M169" s="322"/>
      <c r="N169" s="322"/>
      <c r="O169" s="347"/>
    </row>
    <row r="170" spans="1:15" ht="12.75">
      <c r="A170" s="285">
        <v>90</v>
      </c>
      <c r="B170" s="404" t="s">
        <v>358</v>
      </c>
      <c r="C170" s="295"/>
      <c r="D170" s="297"/>
      <c r="E170" s="297"/>
      <c r="F170" s="367"/>
      <c r="G170" s="366"/>
      <c r="H170" s="352"/>
      <c r="I170" s="297"/>
      <c r="J170" s="334"/>
      <c r="K170" s="369"/>
      <c r="L170" s="302"/>
      <c r="M170" s="312"/>
      <c r="N170" s="312"/>
      <c r="O170" s="306"/>
    </row>
    <row r="171" spans="1:15" ht="12.75">
      <c r="A171" s="285">
        <v>91</v>
      </c>
      <c r="B171" s="293" t="s">
        <v>359</v>
      </c>
      <c r="C171" s="295"/>
      <c r="D171" s="297"/>
      <c r="E171" s="297"/>
      <c r="F171" s="367"/>
      <c r="G171" s="366"/>
      <c r="H171" s="342" t="s">
        <v>360</v>
      </c>
      <c r="I171" s="297"/>
      <c r="J171" s="334"/>
      <c r="K171" s="369"/>
      <c r="L171" s="302"/>
      <c r="M171" s="312"/>
      <c r="N171" s="312"/>
      <c r="O171" s="306"/>
    </row>
    <row r="172" spans="1:15" ht="12.75" hidden="1">
      <c r="A172" s="285">
        <f>ROW()</f>
        <v>172</v>
      </c>
      <c r="B172" s="355" t="s">
        <v>317</v>
      </c>
      <c r="C172" s="295"/>
      <c r="D172" s="297"/>
      <c r="E172" s="297"/>
      <c r="F172" s="297"/>
      <c r="G172" s="366"/>
      <c r="H172" s="405"/>
      <c r="I172" s="297"/>
      <c r="J172" s="334">
        <v>40178</v>
      </c>
      <c r="K172" s="369"/>
      <c r="L172" s="386" t="s">
        <v>353</v>
      </c>
      <c r="M172" s="312"/>
      <c r="N172" s="312"/>
      <c r="O172" s="306"/>
    </row>
    <row r="173" spans="1:15" ht="12.75">
      <c r="A173" s="285">
        <v>92</v>
      </c>
      <c r="B173" s="355" t="s">
        <v>322</v>
      </c>
      <c r="C173" s="295"/>
      <c r="D173" s="297"/>
      <c r="E173" s="297">
        <v>-164390.0922350861</v>
      </c>
      <c r="F173" s="297">
        <v>141403.3987096775</v>
      </c>
      <c r="G173" s="366"/>
      <c r="H173" s="405">
        <f>E173</f>
        <v>-164390.0922350861</v>
      </c>
      <c r="I173" s="297">
        <v>115872.28795698927</v>
      </c>
      <c r="J173" s="334">
        <v>40543</v>
      </c>
      <c r="K173" s="369"/>
      <c r="L173" s="345" t="s">
        <v>323</v>
      </c>
      <c r="M173" s="312">
        <v>5870.439312056565</v>
      </c>
      <c r="N173" s="312">
        <f>+M173/(1-0.35)</f>
        <v>9031.445095471638</v>
      </c>
      <c r="O173" s="306">
        <f>N173/8</f>
        <v>1128.9306369339547</v>
      </c>
    </row>
    <row r="174" spans="1:18" ht="12" customHeight="1">
      <c r="A174" s="285">
        <v>93</v>
      </c>
      <c r="B174" s="355" t="s">
        <v>324</v>
      </c>
      <c r="C174" s="295"/>
      <c r="D174" s="297"/>
      <c r="E174" s="297">
        <v>-141403.69935483873</v>
      </c>
      <c r="F174" s="297">
        <v>-0.3006451610708609</v>
      </c>
      <c r="G174" s="366"/>
      <c r="H174" s="405">
        <f>E174</f>
        <v>-141403.69935483873</v>
      </c>
      <c r="I174" s="297">
        <v>70701.54903225822</v>
      </c>
      <c r="J174" s="334">
        <v>40908</v>
      </c>
      <c r="K174" s="369"/>
      <c r="L174" s="311">
        <v>0.069</v>
      </c>
      <c r="M174" s="312">
        <v>4878.406883225818</v>
      </c>
      <c r="N174" s="312">
        <f>+M174/(1-0.35)</f>
        <v>7505.24135880895</v>
      </c>
      <c r="O174" s="306">
        <f>N174/12</f>
        <v>625.4367799007458</v>
      </c>
      <c r="Q174" s="346"/>
      <c r="R174" s="346"/>
    </row>
    <row r="175" spans="1:15" ht="12.75">
      <c r="A175" s="335">
        <v>94</v>
      </c>
      <c r="B175" s="382"/>
      <c r="C175" s="337"/>
      <c r="D175" s="315"/>
      <c r="E175" s="315"/>
      <c r="F175" s="315"/>
      <c r="G175" s="378"/>
      <c r="H175" s="383"/>
      <c r="I175" s="315"/>
      <c r="J175" s="319"/>
      <c r="K175" s="380"/>
      <c r="L175" s="321"/>
      <c r="M175" s="322"/>
      <c r="N175" s="322"/>
      <c r="O175" s="347"/>
    </row>
    <row r="176" spans="1:15" ht="12.75">
      <c r="A176" s="285">
        <v>95</v>
      </c>
      <c r="B176" s="404" t="s">
        <v>361</v>
      </c>
      <c r="C176" s="295"/>
      <c r="D176" s="297"/>
      <c r="E176" s="297"/>
      <c r="F176" s="297"/>
      <c r="G176" s="366"/>
      <c r="H176" s="352"/>
      <c r="I176" s="297"/>
      <c r="J176" s="334"/>
      <c r="K176" s="369"/>
      <c r="L176" s="302"/>
      <c r="M176" s="312"/>
      <c r="N176" s="312"/>
      <c r="O176" s="306"/>
    </row>
    <row r="177" spans="1:15" ht="12.75">
      <c r="A177" s="285">
        <v>96</v>
      </c>
      <c r="B177" s="293" t="s">
        <v>359</v>
      </c>
      <c r="C177" s="295"/>
      <c r="D177" s="297"/>
      <c r="E177" s="297"/>
      <c r="F177" s="367"/>
      <c r="G177" s="366"/>
      <c r="H177" s="342" t="s">
        <v>362</v>
      </c>
      <c r="I177" s="297"/>
      <c r="J177" s="334"/>
      <c r="K177" s="369"/>
      <c r="L177" s="302"/>
      <c r="M177" s="312"/>
      <c r="N177" s="312"/>
      <c r="O177" s="306"/>
    </row>
    <row r="178" spans="1:15" ht="12.75" hidden="1">
      <c r="A178" s="285">
        <f>ROW()</f>
        <v>178</v>
      </c>
      <c r="B178" s="355" t="s">
        <v>317</v>
      </c>
      <c r="C178" s="295"/>
      <c r="D178" s="297"/>
      <c r="E178" s="297"/>
      <c r="F178" s="297"/>
      <c r="G178" s="366"/>
      <c r="H178" s="405"/>
      <c r="I178" s="297"/>
      <c r="J178" s="334">
        <v>40178</v>
      </c>
      <c r="K178" s="369"/>
      <c r="L178" s="386" t="s">
        <v>353</v>
      </c>
      <c r="M178" s="312"/>
      <c r="N178" s="312"/>
      <c r="O178" s="306"/>
    </row>
    <row r="179" spans="1:15" ht="12.75">
      <c r="A179" s="285">
        <v>97</v>
      </c>
      <c r="B179" s="355" t="s">
        <v>322</v>
      </c>
      <c r="C179" s="295"/>
      <c r="D179" s="297"/>
      <c r="E179" s="297">
        <v>-260349.29753424652</v>
      </c>
      <c r="F179" s="297">
        <v>413676.99</v>
      </c>
      <c r="G179" s="366"/>
      <c r="H179" s="405">
        <f>E179</f>
        <v>-260349.29753424652</v>
      </c>
      <c r="I179" s="297">
        <v>590967.09</v>
      </c>
      <c r="J179" s="334">
        <v>40543</v>
      </c>
      <c r="K179" s="369"/>
      <c r="L179" s="345" t="s">
        <v>323</v>
      </c>
      <c r="M179" s="312">
        <v>29940.173776109586</v>
      </c>
      <c r="N179" s="312">
        <f>+M179/(1-0.35)</f>
        <v>46061.80580939936</v>
      </c>
      <c r="O179" s="306">
        <f>N179/9</f>
        <v>5117.978423266595</v>
      </c>
    </row>
    <row r="180" spans="1:18" ht="12.75">
      <c r="A180" s="285">
        <v>98</v>
      </c>
      <c r="B180" s="355" t="s">
        <v>324</v>
      </c>
      <c r="C180" s="295"/>
      <c r="D180" s="297"/>
      <c r="E180" s="297">
        <v>-354580.2</v>
      </c>
      <c r="F180" s="297">
        <v>59096.7900000005</v>
      </c>
      <c r="G180" s="366"/>
      <c r="H180" s="405">
        <f>E180</f>
        <v>-354580.2</v>
      </c>
      <c r="I180" s="297">
        <v>236386.89</v>
      </c>
      <c r="J180" s="334">
        <v>40908</v>
      </c>
      <c r="K180" s="369"/>
      <c r="L180" s="311">
        <v>0.069</v>
      </c>
      <c r="M180" s="312">
        <v>16310.695410000024</v>
      </c>
      <c r="N180" s="312">
        <f>+M180/(1-0.35)</f>
        <v>25093.37755384619</v>
      </c>
      <c r="O180" s="306">
        <f>N180/12</f>
        <v>2091.114796153849</v>
      </c>
      <c r="Q180" s="346"/>
      <c r="R180" s="346"/>
    </row>
    <row r="181" spans="1:18" ht="12.75">
      <c r="A181" s="285">
        <v>99</v>
      </c>
      <c r="B181" s="355" t="s">
        <v>326</v>
      </c>
      <c r="C181" s="295"/>
      <c r="D181" s="297"/>
      <c r="E181" s="297">
        <v>-59096.7</v>
      </c>
      <c r="F181" s="297">
        <v>0</v>
      </c>
      <c r="G181" s="366"/>
      <c r="H181" s="405">
        <f>E181</f>
        <v>-59096.7</v>
      </c>
      <c r="I181" s="297">
        <v>4924.743750000111</v>
      </c>
      <c r="J181" s="334">
        <v>41274</v>
      </c>
      <c r="K181" s="369"/>
      <c r="L181" s="345" t="s">
        <v>327</v>
      </c>
      <c r="M181" s="312">
        <v>352.6993534161038</v>
      </c>
      <c r="N181" s="312">
        <f>+M181/(1-0.35)</f>
        <v>542.6143898709289</v>
      </c>
      <c r="O181" s="306">
        <f>N181/12</f>
        <v>45.21786582257741</v>
      </c>
      <c r="Q181" s="346"/>
      <c r="R181" s="346"/>
    </row>
    <row r="182" spans="1:15" ht="12.75">
      <c r="A182" s="335">
        <v>100</v>
      </c>
      <c r="B182" s="382"/>
      <c r="C182" s="337"/>
      <c r="D182" s="315"/>
      <c r="E182" s="315"/>
      <c r="F182" s="315"/>
      <c r="G182" s="378"/>
      <c r="H182" s="383"/>
      <c r="I182" s="315"/>
      <c r="J182" s="319"/>
      <c r="K182" s="380"/>
      <c r="L182" s="321"/>
      <c r="M182" s="322"/>
      <c r="N182" s="322"/>
      <c r="O182" s="347"/>
    </row>
    <row r="183" spans="1:15" ht="12.75">
      <c r="A183" s="285">
        <v>101</v>
      </c>
      <c r="B183" s="404" t="s">
        <v>363</v>
      </c>
      <c r="C183" s="295"/>
      <c r="D183" s="297"/>
      <c r="E183" s="297"/>
      <c r="F183" s="297"/>
      <c r="G183" s="366"/>
      <c r="H183" s="352"/>
      <c r="I183" s="297"/>
      <c r="J183" s="334"/>
      <c r="K183" s="369"/>
      <c r="L183" s="302"/>
      <c r="M183" s="312"/>
      <c r="N183" s="312"/>
      <c r="O183" s="306"/>
    </row>
    <row r="184" spans="1:15" ht="12.75">
      <c r="A184" s="285">
        <v>102</v>
      </c>
      <c r="B184" s="293" t="s">
        <v>359</v>
      </c>
      <c r="C184" s="295"/>
      <c r="D184" s="297"/>
      <c r="E184" s="297"/>
      <c r="F184" s="367"/>
      <c r="G184" s="366"/>
      <c r="H184" s="342" t="s">
        <v>364</v>
      </c>
      <c r="I184" s="297"/>
      <c r="J184" s="334"/>
      <c r="K184" s="369"/>
      <c r="L184" s="302"/>
      <c r="M184" s="312"/>
      <c r="N184" s="312"/>
      <c r="O184" s="306"/>
    </row>
    <row r="185" spans="1:15" ht="12.75" hidden="1">
      <c r="A185" s="285">
        <f>ROW()</f>
        <v>185</v>
      </c>
      <c r="B185" s="355" t="s">
        <v>315</v>
      </c>
      <c r="C185" s="295"/>
      <c r="D185" s="297"/>
      <c r="E185" s="297">
        <v>0</v>
      </c>
      <c r="F185" s="297">
        <v>170476</v>
      </c>
      <c r="G185" s="366"/>
      <c r="H185" s="405" t="s">
        <v>365</v>
      </c>
      <c r="I185" s="406">
        <v>7103.166666666667</v>
      </c>
      <c r="J185" s="334"/>
      <c r="K185" s="369"/>
      <c r="L185" s="386" t="s">
        <v>353</v>
      </c>
      <c r="M185" s="312"/>
      <c r="N185" s="312"/>
      <c r="O185" s="306"/>
    </row>
    <row r="186" spans="1:15" ht="12.75" hidden="1">
      <c r="A186" s="285">
        <f>ROW()</f>
        <v>186</v>
      </c>
      <c r="B186" s="355" t="s">
        <v>317</v>
      </c>
      <c r="C186" s="295"/>
      <c r="D186" s="297"/>
      <c r="E186" s="297"/>
      <c r="F186" s="297"/>
      <c r="G186" s="366"/>
      <c r="H186" s="405"/>
      <c r="I186" s="297"/>
      <c r="J186" s="334">
        <v>40178</v>
      </c>
      <c r="K186" s="369"/>
      <c r="L186" s="386" t="s">
        <v>353</v>
      </c>
      <c r="M186" s="312"/>
      <c r="N186" s="312"/>
      <c r="O186" s="306"/>
    </row>
    <row r="187" spans="1:15" ht="12.75">
      <c r="A187" s="285">
        <v>103</v>
      </c>
      <c r="B187" s="355" t="s">
        <v>322</v>
      </c>
      <c r="C187" s="295"/>
      <c r="D187" s="297"/>
      <c r="E187" s="297">
        <v>-87619.9934246575</v>
      </c>
      <c r="F187" s="297">
        <v>0</v>
      </c>
      <c r="G187" s="366"/>
      <c r="H187" s="405">
        <f>E187</f>
        <v>-87619.9934246575</v>
      </c>
      <c r="I187" s="297">
        <v>62507.86666666666</v>
      </c>
      <c r="J187" s="334">
        <v>40543</v>
      </c>
      <c r="K187" s="369"/>
      <c r="L187" s="345" t="s">
        <v>323</v>
      </c>
      <c r="M187" s="312">
        <v>3166.8369052054795</v>
      </c>
      <c r="N187" s="312">
        <f>+M187/(1-0.35)</f>
        <v>4872.056777239199</v>
      </c>
      <c r="O187" s="306">
        <f>N187/9</f>
        <v>541.3396419154665</v>
      </c>
    </row>
    <row r="188" spans="1:15" ht="12.75">
      <c r="A188" s="335">
        <v>104</v>
      </c>
      <c r="B188" s="382"/>
      <c r="C188" s="337"/>
      <c r="D188" s="315"/>
      <c r="E188" s="315"/>
      <c r="F188" s="315"/>
      <c r="G188" s="378"/>
      <c r="H188" s="407"/>
      <c r="I188" s="315"/>
      <c r="J188" s="339"/>
      <c r="K188" s="380"/>
      <c r="L188" s="321"/>
      <c r="M188" s="322"/>
      <c r="N188" s="322"/>
      <c r="O188" s="347"/>
    </row>
    <row r="189" spans="1:15" ht="12.75">
      <c r="A189" s="285">
        <f aca="true" t="shared" si="25" ref="A189:A214">A188+1</f>
        <v>105</v>
      </c>
      <c r="B189" s="404" t="s">
        <v>366</v>
      </c>
      <c r="C189" s="408"/>
      <c r="D189" s="409"/>
      <c r="E189" s="409"/>
      <c r="F189" s="409"/>
      <c r="G189" s="366"/>
      <c r="H189" s="405"/>
      <c r="I189" s="297"/>
      <c r="J189" s="334"/>
      <c r="K189" s="369"/>
      <c r="L189" s="302"/>
      <c r="M189" s="312"/>
      <c r="N189" s="312"/>
      <c r="O189" s="306"/>
    </row>
    <row r="190" spans="1:15" ht="12.75">
      <c r="A190" s="285">
        <f t="shared" si="25"/>
        <v>106</v>
      </c>
      <c r="B190" s="293" t="s">
        <v>359</v>
      </c>
      <c r="C190" s="295"/>
      <c r="D190" s="297"/>
      <c r="E190" s="297"/>
      <c r="F190" s="367"/>
      <c r="G190" s="366"/>
      <c r="H190" s="342" t="s">
        <v>367</v>
      </c>
      <c r="I190" s="297"/>
      <c r="J190" s="334"/>
      <c r="K190" s="369"/>
      <c r="L190" s="302"/>
      <c r="M190" s="312"/>
      <c r="N190" s="312"/>
      <c r="O190" s="306"/>
    </row>
    <row r="191" spans="1:19" ht="12.75">
      <c r="A191" s="285">
        <f t="shared" si="25"/>
        <v>107</v>
      </c>
      <c r="B191" s="355" t="s">
        <v>322</v>
      </c>
      <c r="C191" s="295"/>
      <c r="D191" s="297"/>
      <c r="E191" s="410">
        <v>-335014.7905991661</v>
      </c>
      <c r="F191" s="297">
        <v>1042903.1860869566</v>
      </c>
      <c r="G191" s="366"/>
      <c r="H191" s="411">
        <f>E191</f>
        <v>-335014.7905991661</v>
      </c>
      <c r="I191" s="297">
        <v>678973.4284420289</v>
      </c>
      <c r="J191" s="334">
        <v>40543</v>
      </c>
      <c r="K191" s="369"/>
      <c r="L191" s="345" t="s">
        <v>323</v>
      </c>
      <c r="M191" s="312">
        <v>27467.730532534242</v>
      </c>
      <c r="N191" s="312">
        <f>+M191/(1-0.35)</f>
        <v>42258.0469731296</v>
      </c>
      <c r="O191" s="306">
        <f>N191/7</f>
        <v>6036.863853304229</v>
      </c>
      <c r="S191" s="412"/>
    </row>
    <row r="192" spans="1:18" ht="12.75">
      <c r="A192" s="285">
        <f t="shared" si="25"/>
        <v>108</v>
      </c>
      <c r="B192" s="355" t="s">
        <v>324</v>
      </c>
      <c r="C192" s="295"/>
      <c r="D192" s="297"/>
      <c r="E192" s="410">
        <v>-782177.3895652174</v>
      </c>
      <c r="F192" s="297">
        <v>260725.7965217391</v>
      </c>
      <c r="G192" s="366"/>
      <c r="H192" s="411">
        <f>E192</f>
        <v>-782177.3895652174</v>
      </c>
      <c r="I192" s="297">
        <v>651814.4913043479</v>
      </c>
      <c r="J192" s="334">
        <v>40908</v>
      </c>
      <c r="K192" s="369"/>
      <c r="L192" s="311">
        <f>$O$3</f>
        <v>0.0729</v>
      </c>
      <c r="M192" s="312">
        <v>44975.1999</v>
      </c>
      <c r="N192" s="312">
        <f>+M192/(1-0.35)</f>
        <v>69192.61523076922</v>
      </c>
      <c r="O192" s="306">
        <f>N192/12</f>
        <v>5766.051269230768</v>
      </c>
      <c r="Q192" s="346"/>
      <c r="R192" s="346"/>
    </row>
    <row r="193" spans="1:21" ht="12.75">
      <c r="A193" s="285">
        <f t="shared" si="25"/>
        <v>109</v>
      </c>
      <c r="B193" s="388" t="s">
        <v>326</v>
      </c>
      <c r="C193" s="359"/>
      <c r="D193" s="326"/>
      <c r="E193" s="413">
        <v>-260725.79652173913</v>
      </c>
      <c r="F193" s="326">
        <v>0</v>
      </c>
      <c r="G193" s="373"/>
      <c r="H193" s="414">
        <f>E193</f>
        <v>-260725.79652173913</v>
      </c>
      <c r="I193" s="326">
        <v>43454.29942028985</v>
      </c>
      <c r="J193" s="330">
        <v>41274</v>
      </c>
      <c r="K193" s="376"/>
      <c r="L193" s="415" t="s">
        <v>327</v>
      </c>
      <c r="M193" s="332">
        <v>3112.1016821810595</v>
      </c>
      <c r="N193" s="332">
        <f>+M193/(1-0.35)</f>
        <v>4787.848741817014</v>
      </c>
      <c r="O193" s="362">
        <f>N193/12</f>
        <v>398.98739515141784</v>
      </c>
      <c r="Q193" s="346"/>
      <c r="R193" s="346"/>
      <c r="S193" s="412"/>
      <c r="T193" s="412"/>
      <c r="U193" s="412"/>
    </row>
    <row r="194" spans="1:15" ht="12.75">
      <c r="A194" s="285">
        <f t="shared" si="25"/>
        <v>110</v>
      </c>
      <c r="B194" s="382"/>
      <c r="C194" s="337"/>
      <c r="D194" s="315"/>
      <c r="E194" s="315"/>
      <c r="F194" s="315"/>
      <c r="G194" s="378"/>
      <c r="H194" s="407"/>
      <c r="I194" s="315"/>
      <c r="J194" s="339"/>
      <c r="K194" s="380"/>
      <c r="L194" s="321"/>
      <c r="M194" s="322"/>
      <c r="N194" s="322"/>
      <c r="O194" s="347"/>
    </row>
    <row r="195" spans="1:15" ht="12.75">
      <c r="A195" s="285">
        <f t="shared" si="25"/>
        <v>111</v>
      </c>
      <c r="B195" s="416" t="s">
        <v>368</v>
      </c>
      <c r="C195" s="295"/>
      <c r="D195" s="297"/>
      <c r="E195" s="297"/>
      <c r="F195" s="367"/>
      <c r="G195" s="366"/>
      <c r="H195" s="342" t="s">
        <v>369</v>
      </c>
      <c r="I195" s="297"/>
      <c r="J195" s="334"/>
      <c r="K195" s="369"/>
      <c r="L195" s="302"/>
      <c r="M195" s="312"/>
      <c r="N195" s="312"/>
      <c r="O195" s="306"/>
    </row>
    <row r="196" spans="1:15" ht="12.75">
      <c r="A196" s="285">
        <f t="shared" si="25"/>
        <v>112</v>
      </c>
      <c r="B196" s="416" t="s">
        <v>370</v>
      </c>
      <c r="C196" s="295"/>
      <c r="D196" s="297"/>
      <c r="E196" s="297"/>
      <c r="F196" s="367"/>
      <c r="G196" s="366"/>
      <c r="H196" s="405"/>
      <c r="I196" s="297"/>
      <c r="J196" s="334"/>
      <c r="K196" s="369"/>
      <c r="L196" s="302"/>
      <c r="M196" s="312"/>
      <c r="N196" s="312"/>
      <c r="O196" s="306"/>
    </row>
    <row r="197" spans="1:18" ht="12.75">
      <c r="A197" s="285">
        <f t="shared" si="25"/>
        <v>113</v>
      </c>
      <c r="B197" s="355" t="s">
        <v>324</v>
      </c>
      <c r="C197" s="295"/>
      <c r="D197" s="297"/>
      <c r="E197" s="297">
        <v>-1181344.2649166656</v>
      </c>
      <c r="F197" s="406">
        <v>122267587.6949707</v>
      </c>
      <c r="G197" s="366"/>
      <c r="H197" s="405">
        <f>E197</f>
        <v>-1181344.2649166656</v>
      </c>
      <c r="I197" s="297">
        <v>121077131.71462242</v>
      </c>
      <c r="J197" s="334">
        <v>40908</v>
      </c>
      <c r="K197" s="369"/>
      <c r="L197" s="311">
        <f>$O$3</f>
        <v>0.0729</v>
      </c>
      <c r="M197" s="312">
        <v>8354322.088308948</v>
      </c>
      <c r="N197" s="312">
        <f>+M197/(1-0.35)</f>
        <v>12852803.212782996</v>
      </c>
      <c r="O197" s="306">
        <f>N197/2</f>
        <v>6426401.606391498</v>
      </c>
      <c r="Q197" s="346"/>
      <c r="R197" s="346"/>
    </row>
    <row r="198" spans="1:18" ht="12.75">
      <c r="A198" s="285">
        <f t="shared" si="25"/>
        <v>114</v>
      </c>
      <c r="B198" s="355" t="s">
        <v>326</v>
      </c>
      <c r="C198" s="295"/>
      <c r="D198" s="297"/>
      <c r="E198" s="297">
        <v>-7088065.589499994</v>
      </c>
      <c r="F198" s="406">
        <v>116102845.06179571</v>
      </c>
      <c r="G198" s="366"/>
      <c r="H198" s="405">
        <f>E198</f>
        <v>-7088065.589499994</v>
      </c>
      <c r="I198" s="297">
        <v>119185216.37838322</v>
      </c>
      <c r="J198" s="334">
        <v>41274</v>
      </c>
      <c r="K198" s="369"/>
      <c r="L198" s="345" t="s">
        <v>327</v>
      </c>
      <c r="M198" s="312">
        <v>8688602.273984134</v>
      </c>
      <c r="N198" s="312">
        <f>+M198/(1-0.35)</f>
        <v>13367080.421514053</v>
      </c>
      <c r="O198" s="306">
        <f>N198/12</f>
        <v>1113923.3684595043</v>
      </c>
      <c r="Q198" s="346"/>
      <c r="R198" s="346"/>
    </row>
    <row r="199" spans="1:18" ht="12.75">
      <c r="A199" s="285">
        <f t="shared" si="25"/>
        <v>115</v>
      </c>
      <c r="B199" s="388" t="s">
        <v>328</v>
      </c>
      <c r="C199" s="359"/>
      <c r="D199" s="326"/>
      <c r="E199" s="326">
        <v>-7088065.589499994</v>
      </c>
      <c r="F199" s="417">
        <v>109938102.4286207</v>
      </c>
      <c r="G199" s="373"/>
      <c r="H199" s="418">
        <f>E199</f>
        <v>-7088065.589499994</v>
      </c>
      <c r="I199" s="326">
        <v>113020473.74520823</v>
      </c>
      <c r="J199" s="330">
        <v>41639</v>
      </c>
      <c r="K199" s="376"/>
      <c r="L199" s="361">
        <f>$O$3</f>
        <v>0.0729</v>
      </c>
      <c r="M199" s="332">
        <f>I199*L199</f>
        <v>8239192.536025681</v>
      </c>
      <c r="N199" s="332">
        <f>+M199/(1-0.35)</f>
        <v>12675680.824654892</v>
      </c>
      <c r="O199" s="362">
        <f>N199/12</f>
        <v>1056306.7353879076</v>
      </c>
      <c r="Q199" s="346"/>
      <c r="R199" s="346"/>
    </row>
    <row r="200" spans="1:17" ht="12.75">
      <c r="A200" s="285">
        <f t="shared" si="25"/>
        <v>116</v>
      </c>
      <c r="B200" s="382"/>
      <c r="C200" s="337"/>
      <c r="D200" s="315"/>
      <c r="E200" s="315"/>
      <c r="F200" s="315"/>
      <c r="G200" s="378"/>
      <c r="H200" s="407"/>
      <c r="I200" s="315"/>
      <c r="J200" s="339"/>
      <c r="K200" s="380"/>
      <c r="L200" s="321"/>
      <c r="M200" s="322"/>
      <c r="N200" s="322"/>
      <c r="O200" s="347"/>
      <c r="P200" s="419"/>
      <c r="Q200" s="419"/>
    </row>
    <row r="201" spans="1:15" ht="12.75">
      <c r="A201" s="285">
        <f t="shared" si="25"/>
        <v>117</v>
      </c>
      <c r="B201" s="416" t="s">
        <v>371</v>
      </c>
      <c r="C201" s="295"/>
      <c r="D201" s="297"/>
      <c r="E201" s="297"/>
      <c r="F201" s="297"/>
      <c r="G201" s="366"/>
      <c r="H201" s="405"/>
      <c r="I201" s="297"/>
      <c r="J201" s="334"/>
      <c r="K201" s="369"/>
      <c r="L201" s="302"/>
      <c r="M201" s="312"/>
      <c r="N201" s="312"/>
      <c r="O201" s="306"/>
    </row>
    <row r="202" spans="1:29" ht="12.75">
      <c r="A202" s="285">
        <f t="shared" si="25"/>
        <v>118</v>
      </c>
      <c r="B202" s="355" t="s">
        <v>324</v>
      </c>
      <c r="C202" s="295"/>
      <c r="D202" s="297"/>
      <c r="E202" s="297">
        <v>0</v>
      </c>
      <c r="F202" s="297">
        <v>18500000</v>
      </c>
      <c r="G202" s="366"/>
      <c r="H202" s="405">
        <v>0</v>
      </c>
      <c r="I202" s="297">
        <v>2312500</v>
      </c>
      <c r="J202" s="334">
        <v>40908</v>
      </c>
      <c r="K202" s="369"/>
      <c r="L202" s="311">
        <v>0.069</v>
      </c>
      <c r="M202" s="312">
        <v>159562.5</v>
      </c>
      <c r="N202" s="312">
        <f>+M202/(1-0.35)</f>
        <v>245480.76923076922</v>
      </c>
      <c r="O202" s="306">
        <f>N202/2</f>
        <v>122740.38461538461</v>
      </c>
      <c r="Q202" s="346"/>
      <c r="R202" s="346"/>
      <c r="S202" s="420"/>
      <c r="T202" s="420"/>
      <c r="U202" s="420"/>
      <c r="V202" s="420"/>
      <c r="W202" s="420"/>
      <c r="X202" s="420"/>
      <c r="Y202" s="420"/>
      <c r="Z202" s="420"/>
      <c r="AA202" s="420"/>
      <c r="AB202" s="420"/>
      <c r="AC202" s="271"/>
    </row>
    <row r="203" spans="1:29" ht="12.75">
      <c r="A203" s="285">
        <f t="shared" si="25"/>
        <v>119</v>
      </c>
      <c r="B203" s="355" t="s">
        <v>326</v>
      </c>
      <c r="C203" s="295"/>
      <c r="D203" s="297"/>
      <c r="E203" s="297">
        <v>0</v>
      </c>
      <c r="F203" s="297">
        <v>18500000</v>
      </c>
      <c r="G203" s="366"/>
      <c r="H203" s="405">
        <v>0</v>
      </c>
      <c r="I203" s="297">
        <v>18500000</v>
      </c>
      <c r="J203" s="334">
        <v>41274</v>
      </c>
      <c r="K203" s="369"/>
      <c r="L203" s="345" t="s">
        <v>327</v>
      </c>
      <c r="M203" s="312">
        <v>1348650</v>
      </c>
      <c r="N203" s="312">
        <f>+M203/(1-0.35)</f>
        <v>2074846.1538461538</v>
      </c>
      <c r="O203" s="306">
        <f>N203/12</f>
        <v>172903.84615384616</v>
      </c>
      <c r="Q203" s="346"/>
      <c r="R203" s="346"/>
      <c r="V203" s="412"/>
      <c r="W203" s="412"/>
      <c r="X203" s="412"/>
      <c r="Y203" s="412"/>
      <c r="Z203" s="412"/>
      <c r="AA203" s="412"/>
      <c r="AB203" s="412"/>
      <c r="AC203" s="412"/>
    </row>
    <row r="204" spans="1:29" ht="12.75">
      <c r="A204" s="285">
        <f t="shared" si="25"/>
        <v>120</v>
      </c>
      <c r="B204" s="355" t="s">
        <v>328</v>
      </c>
      <c r="C204" s="421"/>
      <c r="D204" s="348"/>
      <c r="E204" s="348">
        <v>0</v>
      </c>
      <c r="F204" s="348">
        <f>F203</f>
        <v>18500000</v>
      </c>
      <c r="G204" s="366"/>
      <c r="H204" s="405">
        <v>0</v>
      </c>
      <c r="I204" s="348">
        <f>I203</f>
        <v>18500000</v>
      </c>
      <c r="J204" s="334">
        <v>41639</v>
      </c>
      <c r="K204" s="369"/>
      <c r="L204" s="311">
        <f>$O$3</f>
        <v>0.0729</v>
      </c>
      <c r="M204" s="312">
        <f>I204*L204</f>
        <v>1348650.0000000002</v>
      </c>
      <c r="N204" s="312">
        <f>+M204/(1-0.35)</f>
        <v>2074846.1538461542</v>
      </c>
      <c r="O204" s="312">
        <f>N204/12</f>
        <v>172903.84615384619</v>
      </c>
      <c r="P204" s="244"/>
      <c r="Q204" s="346"/>
      <c r="R204" s="346"/>
      <c r="V204" s="412"/>
      <c r="W204" s="412"/>
      <c r="X204" s="412"/>
      <c r="Y204" s="412"/>
      <c r="Z204" s="412"/>
      <c r="AA204" s="412"/>
      <c r="AB204" s="412"/>
      <c r="AC204" s="412"/>
    </row>
    <row r="205" spans="1:29" ht="12.75">
      <c r="A205" s="285">
        <f t="shared" si="25"/>
        <v>121</v>
      </c>
      <c r="B205" s="382"/>
      <c r="C205" s="337"/>
      <c r="D205" s="315"/>
      <c r="E205" s="315"/>
      <c r="F205" s="315"/>
      <c r="G205" s="378"/>
      <c r="H205" s="407"/>
      <c r="I205" s="315"/>
      <c r="J205" s="339"/>
      <c r="K205" s="380"/>
      <c r="L205" s="321"/>
      <c r="M205" s="322"/>
      <c r="N205" s="322"/>
      <c r="O205" s="347"/>
      <c r="Q205" s="420"/>
      <c r="V205" s="412"/>
      <c r="W205" s="412"/>
      <c r="X205" s="412"/>
      <c r="Y205" s="412"/>
      <c r="Z205" s="412"/>
      <c r="AA205" s="412"/>
      <c r="AB205" s="412"/>
      <c r="AC205" s="412"/>
    </row>
    <row r="206" spans="1:29" ht="12.75">
      <c r="A206" s="285">
        <f t="shared" si="25"/>
        <v>122</v>
      </c>
      <c r="B206" s="404" t="s">
        <v>372</v>
      </c>
      <c r="C206" s="295"/>
      <c r="D206" s="297"/>
      <c r="E206" s="297"/>
      <c r="F206" s="297"/>
      <c r="G206" s="366"/>
      <c r="H206" s="342" t="s">
        <v>373</v>
      </c>
      <c r="I206" s="297"/>
      <c r="J206" s="334"/>
      <c r="K206" s="369"/>
      <c r="L206" s="302"/>
      <c r="M206" s="312"/>
      <c r="N206" s="312"/>
      <c r="O206" s="306"/>
      <c r="Q206" s="420"/>
      <c r="V206" s="412"/>
      <c r="W206" s="412"/>
      <c r="X206" s="412"/>
      <c r="Y206" s="412"/>
      <c r="Z206" s="412"/>
      <c r="AA206" s="412"/>
      <c r="AB206" s="412"/>
      <c r="AC206" s="412"/>
    </row>
    <row r="207" spans="1:29" ht="12.75">
      <c r="A207" s="285">
        <f t="shared" si="25"/>
        <v>123</v>
      </c>
      <c r="B207" s="355" t="s">
        <v>322</v>
      </c>
      <c r="C207" s="295"/>
      <c r="D207" s="297"/>
      <c r="E207" s="422">
        <v>-61034.34347826087</v>
      </c>
      <c r="F207" s="297">
        <v>640860.606521739</v>
      </c>
      <c r="G207" s="366"/>
      <c r="H207" s="405">
        <f>E207</f>
        <v>-61034.34347826087</v>
      </c>
      <c r="I207" s="297">
        <v>82650.67346014491</v>
      </c>
      <c r="J207" s="334">
        <v>40543</v>
      </c>
      <c r="K207" s="369"/>
      <c r="L207" s="345" t="s">
        <v>323</v>
      </c>
      <c r="M207" s="312">
        <v>953.0868071061643</v>
      </c>
      <c r="N207" s="312">
        <f>+M207/(1-0.35)</f>
        <v>1466.2873955479452</v>
      </c>
      <c r="O207" s="306">
        <f>N207/2</f>
        <v>733.1436977739726</v>
      </c>
      <c r="Q207" s="420"/>
      <c r="V207" s="412"/>
      <c r="W207" s="412"/>
      <c r="X207" s="412"/>
      <c r="Y207" s="412"/>
      <c r="Z207" s="412"/>
      <c r="AA207" s="412"/>
      <c r="AB207" s="412"/>
      <c r="AC207" s="412"/>
    </row>
    <row r="208" spans="1:29" ht="12.75">
      <c r="A208" s="285">
        <f t="shared" si="25"/>
        <v>124</v>
      </c>
      <c r="B208" s="355" t="s">
        <v>324</v>
      </c>
      <c r="C208" s="295"/>
      <c r="D208" s="297"/>
      <c r="E208" s="422">
        <v>-366206.06086956523</v>
      </c>
      <c r="F208" s="297">
        <v>274654.5456521738</v>
      </c>
      <c r="G208" s="366"/>
      <c r="H208" s="405">
        <f>E208</f>
        <v>-366206.06086956523</v>
      </c>
      <c r="I208" s="297">
        <v>457757.5760869565</v>
      </c>
      <c r="J208" s="334">
        <v>40908</v>
      </c>
      <c r="K208" s="369"/>
      <c r="L208" s="311">
        <v>0.069</v>
      </c>
      <c r="M208" s="312">
        <v>31585.272749999993</v>
      </c>
      <c r="N208" s="312">
        <f>+M208/(1-0.35)</f>
        <v>48592.727307692294</v>
      </c>
      <c r="O208" s="306">
        <f>N208/12</f>
        <v>4049.3939423076913</v>
      </c>
      <c r="Q208" s="346"/>
      <c r="R208" s="346"/>
      <c r="V208" s="412"/>
      <c r="W208" s="412"/>
      <c r="X208" s="412"/>
      <c r="Y208" s="412"/>
      <c r="Z208" s="412"/>
      <c r="AA208" s="412"/>
      <c r="AB208" s="412"/>
      <c r="AC208" s="412"/>
    </row>
    <row r="209" spans="1:29" ht="12.75">
      <c r="A209" s="285">
        <f t="shared" si="25"/>
        <v>125</v>
      </c>
      <c r="B209" s="355" t="s">
        <v>326</v>
      </c>
      <c r="C209" s="295"/>
      <c r="D209" s="297"/>
      <c r="E209" s="422">
        <v>-274654.54565217387</v>
      </c>
      <c r="F209" s="297">
        <v>0</v>
      </c>
      <c r="G209" s="366"/>
      <c r="H209" s="405">
        <f>E209</f>
        <v>-274654.54565217387</v>
      </c>
      <c r="I209" s="297">
        <v>102995.45461956515</v>
      </c>
      <c r="J209" s="334">
        <v>41274</v>
      </c>
      <c r="K209" s="369"/>
      <c r="L209" s="345" t="s">
        <v>327</v>
      </c>
      <c r="M209" s="312">
        <v>7376.308716391079</v>
      </c>
      <c r="N209" s="312">
        <f>+M209/(1-0.35)</f>
        <v>11348.167255986275</v>
      </c>
      <c r="O209" s="306">
        <f>N209/12</f>
        <v>945.6806046655229</v>
      </c>
      <c r="Q209" s="346"/>
      <c r="R209" s="346"/>
      <c r="V209" s="412"/>
      <c r="W209" s="412"/>
      <c r="X209" s="412"/>
      <c r="Y209" s="412"/>
      <c r="Z209" s="412"/>
      <c r="AA209" s="412"/>
      <c r="AB209" s="412"/>
      <c r="AC209" s="412"/>
    </row>
    <row r="210" spans="1:29" ht="12.75">
      <c r="A210" s="285">
        <f t="shared" si="25"/>
        <v>126</v>
      </c>
      <c r="B210" s="382"/>
      <c r="C210" s="337"/>
      <c r="D210" s="315"/>
      <c r="E210" s="315"/>
      <c r="F210" s="315"/>
      <c r="G210" s="378"/>
      <c r="H210" s="407"/>
      <c r="I210" s="315"/>
      <c r="J210" s="339"/>
      <c r="K210" s="380"/>
      <c r="L210" s="321"/>
      <c r="M210" s="322"/>
      <c r="N210" s="322"/>
      <c r="O210" s="347"/>
      <c r="Q210" s="420"/>
      <c r="V210" s="412"/>
      <c r="W210" s="412"/>
      <c r="X210" s="412"/>
      <c r="Y210" s="412"/>
      <c r="Z210" s="412"/>
      <c r="AA210" s="412"/>
      <c r="AB210" s="412"/>
      <c r="AC210" s="412"/>
    </row>
    <row r="211" spans="1:29" ht="12.75">
      <c r="A211" s="285">
        <f t="shared" si="25"/>
        <v>127</v>
      </c>
      <c r="B211" s="416" t="s">
        <v>374</v>
      </c>
      <c r="C211" s="295"/>
      <c r="D211" s="297"/>
      <c r="E211" s="297"/>
      <c r="F211" s="367"/>
      <c r="G211" s="366"/>
      <c r="H211" s="342" t="s">
        <v>375</v>
      </c>
      <c r="I211" s="297"/>
      <c r="J211" s="334"/>
      <c r="K211" s="369"/>
      <c r="L211" s="302"/>
      <c r="M211" s="312"/>
      <c r="N211" s="312"/>
      <c r="O211" s="306"/>
      <c r="Q211" s="420"/>
      <c r="V211" s="412"/>
      <c r="W211" s="412"/>
      <c r="X211" s="412"/>
      <c r="Y211" s="412"/>
      <c r="Z211" s="412"/>
      <c r="AA211" s="412"/>
      <c r="AB211" s="412"/>
      <c r="AC211" s="412"/>
    </row>
    <row r="212" spans="1:29" ht="12.75">
      <c r="A212" s="285">
        <f t="shared" si="25"/>
        <v>128</v>
      </c>
      <c r="B212" s="416" t="s">
        <v>376</v>
      </c>
      <c r="C212" s="295"/>
      <c r="D212" s="297"/>
      <c r="E212" s="297"/>
      <c r="F212" s="367"/>
      <c r="G212" s="366"/>
      <c r="H212" s="405"/>
      <c r="I212" s="297"/>
      <c r="J212" s="334"/>
      <c r="K212" s="369"/>
      <c r="L212" s="302"/>
      <c r="M212" s="312"/>
      <c r="N212" s="312"/>
      <c r="O212" s="306"/>
      <c r="Q212" s="420"/>
      <c r="V212" s="412"/>
      <c r="W212" s="412"/>
      <c r="X212" s="412"/>
      <c r="Y212" s="412"/>
      <c r="Z212" s="412"/>
      <c r="AA212" s="412"/>
      <c r="AB212" s="412"/>
      <c r="AC212" s="412"/>
    </row>
    <row r="213" spans="1:29" ht="12.75">
      <c r="A213" s="285">
        <f t="shared" si="25"/>
        <v>129</v>
      </c>
      <c r="B213" s="355" t="s">
        <v>326</v>
      </c>
      <c r="C213" s="295"/>
      <c r="D213" s="297"/>
      <c r="E213" s="297">
        <v>-555555.5555555556</v>
      </c>
      <c r="F213" s="297">
        <v>3888888.888888889</v>
      </c>
      <c r="G213" s="366"/>
      <c r="H213" s="405">
        <f>E213</f>
        <v>-555555.5555555556</v>
      </c>
      <c r="I213" s="297">
        <v>4166666.6666666665</v>
      </c>
      <c r="J213" s="334">
        <v>41274</v>
      </c>
      <c r="K213" s="369"/>
      <c r="L213" s="345" t="s">
        <v>327</v>
      </c>
      <c r="M213" s="312">
        <v>303750</v>
      </c>
      <c r="N213" s="312">
        <f>+M213/(1-0.35)</f>
        <v>467307.6923076923</v>
      </c>
      <c r="O213" s="306">
        <f>N213/8</f>
        <v>58413.46153846154</v>
      </c>
      <c r="Q213" s="346"/>
      <c r="R213" s="346"/>
      <c r="V213" s="412"/>
      <c r="W213" s="412"/>
      <c r="X213" s="412"/>
      <c r="Y213" s="412"/>
      <c r="Z213" s="412"/>
      <c r="AA213" s="412"/>
      <c r="AB213" s="412"/>
      <c r="AC213" s="412"/>
    </row>
    <row r="214" spans="1:29" ht="12.75">
      <c r="A214" s="285">
        <f t="shared" si="25"/>
        <v>130</v>
      </c>
      <c r="B214" s="355" t="s">
        <v>328</v>
      </c>
      <c r="C214" s="295"/>
      <c r="D214" s="297"/>
      <c r="E214" s="297">
        <v>-555555.5555555556</v>
      </c>
      <c r="F214" s="297">
        <v>3333333.333333332</v>
      </c>
      <c r="G214" s="373"/>
      <c r="H214" s="405">
        <f>E214</f>
        <v>-555555.5555555556</v>
      </c>
      <c r="I214" s="297">
        <v>3611111.1111111105</v>
      </c>
      <c r="J214" s="334">
        <v>41639</v>
      </c>
      <c r="K214" s="369"/>
      <c r="L214" s="311">
        <f>$O$3</f>
        <v>0.0729</v>
      </c>
      <c r="M214" s="312">
        <f>I214*L214</f>
        <v>263250</v>
      </c>
      <c r="N214" s="312">
        <f>+M214/(1-0.35)</f>
        <v>405000</v>
      </c>
      <c r="O214" s="306">
        <f>N214/12</f>
        <v>33750</v>
      </c>
      <c r="Q214" s="346"/>
      <c r="R214" s="346"/>
      <c r="V214" s="412"/>
      <c r="W214" s="412"/>
      <c r="X214" s="412"/>
      <c r="Y214" s="412"/>
      <c r="Z214" s="412"/>
      <c r="AA214" s="412"/>
      <c r="AB214" s="412"/>
      <c r="AC214" s="412"/>
    </row>
    <row r="215" spans="1:29" ht="12.75" hidden="1">
      <c r="A215" s="285">
        <f>ROW()</f>
        <v>215</v>
      </c>
      <c r="B215" s="355"/>
      <c r="C215" s="295"/>
      <c r="D215" s="297"/>
      <c r="E215" s="297"/>
      <c r="F215" s="297"/>
      <c r="G215" s="369"/>
      <c r="H215" s="423"/>
      <c r="I215" s="297"/>
      <c r="J215" s="334"/>
      <c r="K215" s="369"/>
      <c r="L215" s="311"/>
      <c r="M215" s="312"/>
      <c r="N215" s="312"/>
      <c r="O215" s="306"/>
      <c r="Q215" s="420"/>
      <c r="V215" s="412"/>
      <c r="W215" s="412"/>
      <c r="X215" s="412"/>
      <c r="Y215" s="412"/>
      <c r="Z215" s="412"/>
      <c r="AA215" s="412"/>
      <c r="AB215" s="412"/>
      <c r="AC215" s="412"/>
    </row>
    <row r="216" spans="1:29" ht="12.75">
      <c r="A216" s="335">
        <v>131</v>
      </c>
      <c r="B216" s="382"/>
      <c r="C216" s="337"/>
      <c r="D216" s="315"/>
      <c r="E216" s="315"/>
      <c r="F216" s="315"/>
      <c r="G216" s="378"/>
      <c r="H216" s="407"/>
      <c r="I216" s="315"/>
      <c r="J216" s="339"/>
      <c r="K216" s="380"/>
      <c r="L216" s="321"/>
      <c r="M216" s="322"/>
      <c r="N216" s="322"/>
      <c r="O216" s="347"/>
      <c r="Q216" s="420"/>
      <c r="V216" s="412"/>
      <c r="W216" s="412"/>
      <c r="X216" s="412"/>
      <c r="Y216" s="412"/>
      <c r="Z216" s="412"/>
      <c r="AA216" s="412"/>
      <c r="AB216" s="412"/>
      <c r="AC216" s="412"/>
    </row>
    <row r="217" spans="1:29" ht="12.75">
      <c r="A217" s="285">
        <f aca="true" t="shared" si="26" ref="A217:A231">A216+1</f>
        <v>132</v>
      </c>
      <c r="B217" s="416" t="s">
        <v>377</v>
      </c>
      <c r="C217" s="295"/>
      <c r="D217" s="297"/>
      <c r="E217" s="297"/>
      <c r="F217" s="297"/>
      <c r="G217" s="366"/>
      <c r="H217" s="423"/>
      <c r="I217" s="297"/>
      <c r="J217" s="334"/>
      <c r="K217" s="369"/>
      <c r="L217" s="311"/>
      <c r="M217" s="312"/>
      <c r="N217" s="312"/>
      <c r="O217" s="306"/>
      <c r="Q217" s="420"/>
      <c r="V217" s="412"/>
      <c r="W217" s="412"/>
      <c r="X217" s="412"/>
      <c r="Y217" s="412"/>
      <c r="Z217" s="412"/>
      <c r="AA217" s="412"/>
      <c r="AB217" s="412"/>
      <c r="AC217" s="412"/>
    </row>
    <row r="218" spans="1:29" ht="12.75">
      <c r="A218" s="285">
        <f t="shared" si="26"/>
        <v>133</v>
      </c>
      <c r="B218" s="355" t="s">
        <v>326</v>
      </c>
      <c r="C218" s="295"/>
      <c r="D218" s="297"/>
      <c r="E218" s="297">
        <v>0</v>
      </c>
      <c r="F218" s="297">
        <v>99707854</v>
      </c>
      <c r="G218" s="366"/>
      <c r="H218" s="423">
        <f>E218</f>
        <v>0</v>
      </c>
      <c r="I218" s="297">
        <v>99707854</v>
      </c>
      <c r="J218" s="334">
        <v>41274</v>
      </c>
      <c r="K218" s="369"/>
      <c r="L218" s="345" t="s">
        <v>327</v>
      </c>
      <c r="M218" s="312">
        <v>7268702.556600003</v>
      </c>
      <c r="N218" s="312">
        <f>+M218/(1-0.35)</f>
        <v>11182619.317846157</v>
      </c>
      <c r="O218" s="306">
        <f>N218/8</f>
        <v>1397827.4147307696</v>
      </c>
      <c r="Q218" s="346"/>
      <c r="R218" s="346"/>
      <c r="V218" s="412"/>
      <c r="W218" s="412"/>
      <c r="X218" s="412"/>
      <c r="Y218" s="412"/>
      <c r="Z218" s="412"/>
      <c r="AA218" s="412"/>
      <c r="AB218" s="412"/>
      <c r="AC218" s="412"/>
    </row>
    <row r="219" spans="1:29" ht="12.75">
      <c r="A219" s="285">
        <f t="shared" si="26"/>
        <v>134</v>
      </c>
      <c r="B219" s="355" t="s">
        <v>328</v>
      </c>
      <c r="C219" s="295"/>
      <c r="D219" s="297"/>
      <c r="E219" s="297">
        <v>0</v>
      </c>
      <c r="F219" s="297">
        <v>99707854</v>
      </c>
      <c r="G219" s="366"/>
      <c r="H219" s="423">
        <f>E219</f>
        <v>0</v>
      </c>
      <c r="I219" s="297">
        <v>99707854</v>
      </c>
      <c r="J219" s="334">
        <v>41639</v>
      </c>
      <c r="K219" s="369"/>
      <c r="L219" s="311">
        <f>$O$3</f>
        <v>0.0729</v>
      </c>
      <c r="M219" s="312">
        <f>I219*L219</f>
        <v>7268702.556600001</v>
      </c>
      <c r="N219" s="312">
        <f>+M219/(1-0.35)</f>
        <v>11182619.317846155</v>
      </c>
      <c r="O219" s="306">
        <f>N219/12</f>
        <v>931884.9431538462</v>
      </c>
      <c r="Q219" s="346"/>
      <c r="R219" s="346"/>
      <c r="V219" s="412"/>
      <c r="W219" s="412"/>
      <c r="X219" s="412"/>
      <c r="Y219" s="412"/>
      <c r="Z219" s="412"/>
      <c r="AA219" s="412"/>
      <c r="AB219" s="412"/>
      <c r="AC219" s="412"/>
    </row>
    <row r="220" spans="1:29" ht="12.75">
      <c r="A220" s="285">
        <f t="shared" si="26"/>
        <v>135</v>
      </c>
      <c r="B220" s="382"/>
      <c r="C220" s="337"/>
      <c r="D220" s="315"/>
      <c r="E220" s="315"/>
      <c r="F220" s="315"/>
      <c r="G220" s="378"/>
      <c r="H220" s="407"/>
      <c r="I220" s="315"/>
      <c r="J220" s="339"/>
      <c r="K220" s="380"/>
      <c r="L220" s="321"/>
      <c r="M220" s="322"/>
      <c r="N220" s="322"/>
      <c r="O220" s="347"/>
      <c r="Q220" s="420"/>
      <c r="V220" s="412"/>
      <c r="W220" s="412"/>
      <c r="X220" s="412"/>
      <c r="Y220" s="412"/>
      <c r="Z220" s="412"/>
      <c r="AA220" s="412"/>
      <c r="AB220" s="412"/>
      <c r="AC220" s="412"/>
    </row>
    <row r="221" spans="1:29" ht="12.75">
      <c r="A221" s="285">
        <f t="shared" si="26"/>
        <v>136</v>
      </c>
      <c r="B221" s="416" t="s">
        <v>378</v>
      </c>
      <c r="C221" s="295"/>
      <c r="D221" s="297"/>
      <c r="E221" s="297"/>
      <c r="F221" s="297"/>
      <c r="G221" s="366"/>
      <c r="H221" s="423"/>
      <c r="I221" s="297"/>
      <c r="J221" s="334"/>
      <c r="K221" s="369"/>
      <c r="L221" s="311"/>
      <c r="M221" s="312"/>
      <c r="N221" s="312"/>
      <c r="O221" s="306"/>
      <c r="Q221" s="346"/>
      <c r="R221" s="346"/>
      <c r="V221" s="412"/>
      <c r="W221" s="412"/>
      <c r="X221" s="412"/>
      <c r="Y221" s="412"/>
      <c r="Z221" s="412"/>
      <c r="AA221" s="412"/>
      <c r="AB221" s="412"/>
      <c r="AC221" s="412"/>
    </row>
    <row r="222" spans="1:29" ht="12.75">
      <c r="A222" s="285">
        <f t="shared" si="26"/>
        <v>137</v>
      </c>
      <c r="B222" s="355" t="s">
        <v>326</v>
      </c>
      <c r="C222" s="295"/>
      <c r="D222" s="297"/>
      <c r="E222" s="297">
        <v>-453419.3626358974</v>
      </c>
      <c r="F222" s="297">
        <v>10757374.378536666</v>
      </c>
      <c r="G222" s="366"/>
      <c r="H222" s="423">
        <f>E222</f>
        <v>-453419.3626358974</v>
      </c>
      <c r="I222" s="297">
        <v>10571642.66201222</v>
      </c>
      <c r="J222" s="334">
        <v>41274</v>
      </c>
      <c r="K222" s="369"/>
      <c r="L222" s="345" t="s">
        <v>327</v>
      </c>
      <c r="M222" s="312">
        <v>770672.750060691</v>
      </c>
      <c r="N222" s="312">
        <f>+M222/(1-0.35)</f>
        <v>1185650.3847087554</v>
      </c>
      <c r="O222" s="306">
        <f>N222/8</f>
        <v>148206.29808859443</v>
      </c>
      <c r="Q222" s="346"/>
      <c r="R222" s="346"/>
      <c r="V222" s="412"/>
      <c r="W222" s="412"/>
      <c r="X222" s="412"/>
      <c r="Y222" s="412"/>
      <c r="Z222" s="412"/>
      <c r="AA222" s="412"/>
      <c r="AB222" s="412"/>
      <c r="AC222" s="412"/>
    </row>
    <row r="223" spans="1:29" ht="12.75">
      <c r="A223" s="285">
        <f t="shared" si="26"/>
        <v>138</v>
      </c>
      <c r="B223" s="388" t="s">
        <v>328</v>
      </c>
      <c r="C223" s="359"/>
      <c r="D223" s="326"/>
      <c r="E223" s="326">
        <v>-680129.0439538461</v>
      </c>
      <c r="F223" s="326">
        <v>10315290.499966666</v>
      </c>
      <c r="G223" s="373"/>
      <c r="H223" s="424">
        <f>E223</f>
        <v>-680129.0439538461</v>
      </c>
      <c r="I223" s="326">
        <v>10536332.439251661</v>
      </c>
      <c r="J223" s="330">
        <v>41639</v>
      </c>
      <c r="K223" s="376"/>
      <c r="L223" s="361">
        <f>$O$3</f>
        <v>0.0729</v>
      </c>
      <c r="M223" s="332">
        <f>I223*L223</f>
        <v>768098.6348214461</v>
      </c>
      <c r="N223" s="332">
        <f>+M223/(1-0.35)</f>
        <v>1181690.2074176094</v>
      </c>
      <c r="O223" s="362">
        <f>N223/12</f>
        <v>98474.18395146745</v>
      </c>
      <c r="Q223" s="346"/>
      <c r="R223" s="346"/>
      <c r="V223" s="412"/>
      <c r="W223" s="412"/>
      <c r="X223" s="412"/>
      <c r="Y223" s="412"/>
      <c r="Z223" s="412"/>
      <c r="AA223" s="412"/>
      <c r="AB223" s="412"/>
      <c r="AC223" s="412"/>
    </row>
    <row r="224" spans="1:29" ht="12.75">
      <c r="A224" s="285">
        <f t="shared" si="26"/>
        <v>139</v>
      </c>
      <c r="B224" s="382"/>
      <c r="C224" s="337"/>
      <c r="D224" s="315"/>
      <c r="E224" s="315"/>
      <c r="F224" s="315"/>
      <c r="G224" s="378"/>
      <c r="H224" s="407"/>
      <c r="I224" s="315"/>
      <c r="J224" s="339"/>
      <c r="K224" s="380"/>
      <c r="L224" s="321"/>
      <c r="M224" s="322"/>
      <c r="N224" s="322"/>
      <c r="O224" s="347"/>
      <c r="Q224" s="420"/>
      <c r="V224" s="412"/>
      <c r="W224" s="412"/>
      <c r="X224" s="412"/>
      <c r="Y224" s="412"/>
      <c r="Z224" s="412"/>
      <c r="AA224" s="412"/>
      <c r="AB224" s="412"/>
      <c r="AC224" s="412"/>
    </row>
    <row r="225" spans="1:29" ht="12.75">
      <c r="A225" s="285">
        <f t="shared" si="26"/>
        <v>140</v>
      </c>
      <c r="B225" s="425" t="s">
        <v>379</v>
      </c>
      <c r="C225" s="295"/>
      <c r="D225" s="297"/>
      <c r="E225" s="297"/>
      <c r="F225" s="297"/>
      <c r="G225" s="366"/>
      <c r="H225" s="423"/>
      <c r="I225" s="297"/>
      <c r="J225" s="334"/>
      <c r="K225" s="369"/>
      <c r="L225" s="311"/>
      <c r="M225" s="312"/>
      <c r="N225" s="312"/>
      <c r="O225" s="306"/>
      <c r="Q225" s="346"/>
      <c r="R225" s="346"/>
      <c r="V225" s="412"/>
      <c r="W225" s="412"/>
      <c r="X225" s="412"/>
      <c r="Y225" s="412"/>
      <c r="Z225" s="412"/>
      <c r="AA225" s="412"/>
      <c r="AB225" s="412"/>
      <c r="AC225" s="412"/>
    </row>
    <row r="226" spans="1:29" ht="12.75">
      <c r="A226" s="285">
        <f t="shared" si="26"/>
        <v>141</v>
      </c>
      <c r="B226" s="355" t="s">
        <v>326</v>
      </c>
      <c r="C226" s="295"/>
      <c r="D226" s="297"/>
      <c r="E226" s="297">
        <v>-176770</v>
      </c>
      <c r="F226" s="297">
        <v>1149005</v>
      </c>
      <c r="G226" s="366"/>
      <c r="H226" s="423">
        <f>E226</f>
        <v>-176770</v>
      </c>
      <c r="I226" s="297">
        <v>880167.2916666666</v>
      </c>
      <c r="J226" s="334">
        <v>41274</v>
      </c>
      <c r="K226" s="369"/>
      <c r="L226" s="345" t="s">
        <v>327</v>
      </c>
      <c r="M226" s="312">
        <v>63035.65229537671</v>
      </c>
      <c r="N226" s="312">
        <f>+M226/(1-0.35)</f>
        <v>96977.92660827187</v>
      </c>
      <c r="O226" s="306">
        <f>N226/8</f>
        <v>12122.240826033983</v>
      </c>
      <c r="Q226" s="346"/>
      <c r="R226" s="346"/>
      <c r="V226" s="412"/>
      <c r="W226" s="412"/>
      <c r="X226" s="412"/>
      <c r="Y226" s="412"/>
      <c r="Z226" s="412"/>
      <c r="AA226" s="412"/>
      <c r="AB226" s="412"/>
      <c r="AC226" s="412"/>
    </row>
    <row r="227" spans="1:29" ht="12.75">
      <c r="A227" s="285">
        <f t="shared" si="26"/>
        <v>142</v>
      </c>
      <c r="B227" s="388" t="s">
        <v>328</v>
      </c>
      <c r="C227" s="359"/>
      <c r="D227" s="326"/>
      <c r="E227" s="326">
        <v>-265155</v>
      </c>
      <c r="F227" s="326">
        <v>883850</v>
      </c>
      <c r="G227" s="373"/>
      <c r="H227" s="424">
        <f>E227</f>
        <v>-265155</v>
      </c>
      <c r="I227" s="326">
        <v>1016427.5</v>
      </c>
      <c r="J227" s="330">
        <v>41639</v>
      </c>
      <c r="K227" s="376"/>
      <c r="L227" s="361">
        <f>$O$3</f>
        <v>0.0729</v>
      </c>
      <c r="M227" s="332">
        <f>I227*L227</f>
        <v>74097.56475</v>
      </c>
      <c r="N227" s="332">
        <f>+M227/(1-0.35)</f>
        <v>113996.25346153846</v>
      </c>
      <c r="O227" s="362">
        <f>N227/12</f>
        <v>9499.687788461539</v>
      </c>
      <c r="Q227" s="346"/>
      <c r="R227" s="346"/>
      <c r="V227" s="412"/>
      <c r="W227" s="412"/>
      <c r="X227" s="412"/>
      <c r="Y227" s="412"/>
      <c r="Z227" s="412"/>
      <c r="AA227" s="412"/>
      <c r="AB227" s="412"/>
      <c r="AC227" s="412"/>
    </row>
    <row r="228" spans="1:29" ht="12.75">
      <c r="A228" s="285">
        <f t="shared" si="26"/>
        <v>143</v>
      </c>
      <c r="B228" s="382"/>
      <c r="C228" s="382"/>
      <c r="D228" s="382"/>
      <c r="E228" s="382"/>
      <c r="F228" s="382"/>
      <c r="G228" s="382"/>
      <c r="H228" s="382"/>
      <c r="I228" s="382"/>
      <c r="J228" s="382"/>
      <c r="K228" s="382"/>
      <c r="L228" s="382"/>
      <c r="M228" s="382"/>
      <c r="N228" s="382"/>
      <c r="O228" s="382"/>
      <c r="Q228" s="420"/>
      <c r="V228" s="412"/>
      <c r="W228" s="412"/>
      <c r="X228" s="412"/>
      <c r="Y228" s="412"/>
      <c r="Z228" s="412"/>
      <c r="AA228" s="412"/>
      <c r="AB228" s="412"/>
      <c r="AC228" s="412"/>
    </row>
    <row r="229" spans="1:29" ht="12.75">
      <c r="A229" s="285">
        <f t="shared" si="26"/>
        <v>144</v>
      </c>
      <c r="B229" s="426"/>
      <c r="C229" s="427"/>
      <c r="D229" s="427"/>
      <c r="E229" s="428"/>
      <c r="F229" s="428"/>
      <c r="G229" s="429"/>
      <c r="H229" s="430"/>
      <c r="I229" s="430"/>
      <c r="J229" s="431"/>
      <c r="K229" s="432"/>
      <c r="L229" s="433" t="s">
        <v>291</v>
      </c>
      <c r="M229" s="434"/>
      <c r="N229" s="434"/>
      <c r="O229" s="435"/>
      <c r="Q229" s="412"/>
      <c r="R229" s="412"/>
      <c r="S229" s="412"/>
      <c r="T229" s="412"/>
      <c r="U229" s="412"/>
      <c r="V229" s="412"/>
      <c r="W229" s="412"/>
      <c r="X229" s="412"/>
      <c r="Y229" s="412"/>
      <c r="Z229" s="412"/>
      <c r="AA229" s="412"/>
      <c r="AB229" s="412"/>
      <c r="AC229" s="412"/>
    </row>
    <row r="230" spans="1:15" ht="12.75">
      <c r="A230" s="285">
        <f t="shared" si="26"/>
        <v>145</v>
      </c>
      <c r="B230" s="436" t="s">
        <v>380</v>
      </c>
      <c r="C230" s="276"/>
      <c r="D230" s="276"/>
      <c r="E230" s="437" t="s">
        <v>381</v>
      </c>
      <c r="F230" s="437" t="s">
        <v>382</v>
      </c>
      <c r="G230" s="438"/>
      <c r="H230" s="278" t="s">
        <v>294</v>
      </c>
      <c r="I230" s="261" t="s">
        <v>394</v>
      </c>
      <c r="J230" s="280"/>
      <c r="K230" s="279"/>
      <c r="L230" s="281" t="s">
        <v>296</v>
      </c>
      <c r="M230" s="281" t="s">
        <v>297</v>
      </c>
      <c r="N230" s="439" t="s">
        <v>298</v>
      </c>
      <c r="O230" s="440" t="s">
        <v>299</v>
      </c>
    </row>
    <row r="231" spans="1:15" ht="12.75">
      <c r="A231" s="285">
        <f t="shared" si="26"/>
        <v>146</v>
      </c>
      <c r="B231" s="441"/>
      <c r="C231" s="442"/>
      <c r="D231" s="442"/>
      <c r="E231" s="443"/>
      <c r="F231" s="443"/>
      <c r="G231" s="290"/>
      <c r="H231" s="343"/>
      <c r="I231" s="343"/>
      <c r="J231" s="334"/>
      <c r="K231" s="298"/>
      <c r="L231" s="343"/>
      <c r="M231" s="444" t="s">
        <v>383</v>
      </c>
      <c r="N231" s="444"/>
      <c r="O231" s="445"/>
    </row>
    <row r="232" spans="1:16" ht="12.75" hidden="1">
      <c r="A232" s="285">
        <f>ROW()</f>
        <v>232</v>
      </c>
      <c r="B232" s="446" t="s">
        <v>384</v>
      </c>
      <c r="C232" s="442"/>
      <c r="D232" s="442"/>
      <c r="E232" s="447">
        <v>38169</v>
      </c>
      <c r="F232" s="447">
        <v>38533</v>
      </c>
      <c r="G232" s="290"/>
      <c r="H232" s="448">
        <f aca="true" t="shared" si="27" ref="H232:I239">SUMIF($J$17:$J$231,$J232,H$17:H$231)</f>
        <v>-23312821.722071</v>
      </c>
      <c r="I232" s="448">
        <f t="shared" si="27"/>
        <v>309002684.991679</v>
      </c>
      <c r="J232" s="449">
        <v>38533</v>
      </c>
      <c r="K232" s="450"/>
      <c r="L232" s="311" t="e">
        <f>#REF!</f>
        <v>#REF!</v>
      </c>
      <c r="M232" s="448">
        <f aca="true" t="shared" si="28" ref="M232:M241">SUMIF($J$17:$J$231,$J232,M$17:M$231)</f>
        <v>21484372.481043678</v>
      </c>
      <c r="N232" s="451">
        <f aca="true" t="shared" si="29" ref="N232:N241">M232/0.65</f>
        <v>33052880.740067195</v>
      </c>
      <c r="O232" s="452">
        <f aca="true" t="shared" si="30" ref="O232:O241">N232/12</f>
        <v>2754406.728338933</v>
      </c>
      <c r="P232" s="453"/>
    </row>
    <row r="233" spans="1:16" ht="12.75" hidden="1">
      <c r="A233" s="285">
        <f>ROW()</f>
        <v>233</v>
      </c>
      <c r="B233" s="446" t="s">
        <v>385</v>
      </c>
      <c r="C233" s="442"/>
      <c r="D233" s="442"/>
      <c r="E233" s="447">
        <v>38534</v>
      </c>
      <c r="F233" s="447">
        <v>38898</v>
      </c>
      <c r="G233" s="290"/>
      <c r="H233" s="448">
        <f t="shared" si="27"/>
        <v>-27039230.960726786</v>
      </c>
      <c r="I233" s="448">
        <f t="shared" si="27"/>
        <v>283426576.8612401</v>
      </c>
      <c r="J233" s="449">
        <v>38898</v>
      </c>
      <c r="K233" s="450"/>
      <c r="L233" s="454">
        <f>$L$18</f>
        <v>0.07010000000000001</v>
      </c>
      <c r="M233" s="448">
        <f t="shared" si="28"/>
        <v>19868203.03797293</v>
      </c>
      <c r="N233" s="451">
        <f t="shared" si="29"/>
        <v>30566466.212266047</v>
      </c>
      <c r="O233" s="452">
        <f t="shared" si="30"/>
        <v>2547205.5176888374</v>
      </c>
      <c r="P233" s="453"/>
    </row>
    <row r="234" spans="1:16" ht="12.75" hidden="1">
      <c r="A234" s="285">
        <f>ROW()</f>
        <v>234</v>
      </c>
      <c r="B234" s="455" t="s">
        <v>386</v>
      </c>
      <c r="C234" s="456"/>
      <c r="D234" s="456"/>
      <c r="E234" s="457">
        <v>38899</v>
      </c>
      <c r="F234" s="457">
        <v>39082</v>
      </c>
      <c r="G234" s="458"/>
      <c r="H234" s="459">
        <f t="shared" si="27"/>
        <v>-15629281.804041505</v>
      </c>
      <c r="I234" s="459">
        <f t="shared" si="27"/>
        <v>270099070.90764296</v>
      </c>
      <c r="J234" s="398">
        <v>39082</v>
      </c>
      <c r="K234" s="460"/>
      <c r="L234" s="400">
        <f>$L$18</f>
        <v>0.07010000000000001</v>
      </c>
      <c r="M234" s="459">
        <f t="shared" si="28"/>
        <v>18933944.87062577</v>
      </c>
      <c r="N234" s="461">
        <f t="shared" si="29"/>
        <v>29129145.95480888</v>
      </c>
      <c r="O234" s="462">
        <f t="shared" si="30"/>
        <v>2427428.829567407</v>
      </c>
      <c r="P234" s="453"/>
    </row>
    <row r="235" spans="1:16" ht="12.75" hidden="1">
      <c r="A235" s="285">
        <f>ROW()</f>
        <v>235</v>
      </c>
      <c r="B235" s="446" t="s">
        <v>387</v>
      </c>
      <c r="C235" s="442"/>
      <c r="D235" s="442"/>
      <c r="E235" s="447">
        <v>39083</v>
      </c>
      <c r="F235" s="447">
        <v>39447</v>
      </c>
      <c r="G235" s="290"/>
      <c r="H235" s="448">
        <f t="shared" si="27"/>
        <v>-33343975.77790191</v>
      </c>
      <c r="I235" s="448">
        <f t="shared" si="27"/>
        <v>239545740.14817306</v>
      </c>
      <c r="J235" s="334">
        <v>39447</v>
      </c>
      <c r="K235" s="298"/>
      <c r="L235" s="311" t="s">
        <v>314</v>
      </c>
      <c r="M235" s="448">
        <f t="shared" si="28"/>
        <v>16907991.516266804</v>
      </c>
      <c r="N235" s="451">
        <f t="shared" si="29"/>
        <v>26012294.640410468</v>
      </c>
      <c r="O235" s="452">
        <f t="shared" si="30"/>
        <v>2167691.220034206</v>
      </c>
      <c r="P235" s="453"/>
    </row>
    <row r="236" spans="1:16" ht="12.75" hidden="1">
      <c r="A236" s="285">
        <f>ROW()</f>
        <v>236</v>
      </c>
      <c r="B236" s="446" t="s">
        <v>388</v>
      </c>
      <c r="C236" s="442"/>
      <c r="D236" s="442"/>
      <c r="E236" s="447">
        <v>39448</v>
      </c>
      <c r="F236" s="447">
        <v>39813</v>
      </c>
      <c r="G236" s="290"/>
      <c r="H236" s="448">
        <f t="shared" si="27"/>
        <v>-37135851.399358526</v>
      </c>
      <c r="I236" s="448">
        <f t="shared" si="27"/>
        <v>208625662.68785027</v>
      </c>
      <c r="J236" s="334">
        <v>39813</v>
      </c>
      <c r="K236" s="298"/>
      <c r="L236" s="311" t="str">
        <f>$L$21</f>
        <v>7.06%&amp;7.00%</v>
      </c>
      <c r="M236" s="448">
        <f t="shared" si="28"/>
        <v>14295592.85846415</v>
      </c>
      <c r="N236" s="451">
        <f t="shared" si="29"/>
        <v>21993219.78225254</v>
      </c>
      <c r="O236" s="452">
        <f t="shared" si="30"/>
        <v>1832768.3151877115</v>
      </c>
      <c r="P236" s="453"/>
    </row>
    <row r="237" spans="1:17" ht="12.75" hidden="1">
      <c r="A237" s="285">
        <f>ROW()</f>
        <v>237</v>
      </c>
      <c r="B237" s="446" t="s">
        <v>389</v>
      </c>
      <c r="C237" s="442"/>
      <c r="D237" s="442"/>
      <c r="E237" s="447">
        <v>39814</v>
      </c>
      <c r="F237" s="447">
        <v>40178</v>
      </c>
      <c r="G237" s="290"/>
      <c r="H237" s="448">
        <f t="shared" si="27"/>
        <v>-42731026.75579602</v>
      </c>
      <c r="I237" s="448">
        <f t="shared" si="27"/>
        <v>132574299.56855597</v>
      </c>
      <c r="J237" s="334">
        <v>40178</v>
      </c>
      <c r="K237" s="298"/>
      <c r="L237" s="371">
        <f>$L$22</f>
        <v>0.07</v>
      </c>
      <c r="M237" s="448">
        <f t="shared" si="28"/>
        <v>11712438.619157825</v>
      </c>
      <c r="N237" s="451">
        <f t="shared" si="29"/>
        <v>18019136.337165885</v>
      </c>
      <c r="O237" s="452">
        <f t="shared" si="30"/>
        <v>1501594.6947638236</v>
      </c>
      <c r="P237" s="453"/>
      <c r="Q237" s="346"/>
    </row>
    <row r="238" spans="1:16" s="244" customFormat="1" ht="12.75">
      <c r="A238" s="285">
        <v>147</v>
      </c>
      <c r="B238" s="446" t="s">
        <v>390</v>
      </c>
      <c r="C238" s="463"/>
      <c r="D238" s="463"/>
      <c r="E238" s="464">
        <v>40179</v>
      </c>
      <c r="F238" s="464">
        <v>40543</v>
      </c>
      <c r="G238" s="465"/>
      <c r="H238" s="466">
        <f t="shared" si="27"/>
        <v>-52213510.25347106</v>
      </c>
      <c r="I238" s="466">
        <f t="shared" si="27"/>
        <v>128401162.10307042</v>
      </c>
      <c r="J238" s="334">
        <v>40543</v>
      </c>
      <c r="K238" s="467"/>
      <c r="L238" s="345" t="s">
        <v>323</v>
      </c>
      <c r="M238" s="466">
        <f t="shared" si="28"/>
        <v>8348279.4125127895</v>
      </c>
      <c r="N238" s="468">
        <f t="shared" si="29"/>
        <v>12843506.788481215</v>
      </c>
      <c r="O238" s="452">
        <f t="shared" si="30"/>
        <v>1070292.2323734346</v>
      </c>
      <c r="P238" s="469"/>
    </row>
    <row r="239" spans="1:18" ht="12.75">
      <c r="A239" s="285">
        <f aca="true" t="shared" si="31" ref="A239:A244">A238+1</f>
        <v>148</v>
      </c>
      <c r="B239" s="446" t="s">
        <v>391</v>
      </c>
      <c r="C239" s="442"/>
      <c r="D239" s="442"/>
      <c r="E239" s="447">
        <v>40544</v>
      </c>
      <c r="F239" s="447">
        <v>40908</v>
      </c>
      <c r="G239" s="290"/>
      <c r="H239" s="448">
        <f t="shared" si="27"/>
        <v>-56831510.787913665</v>
      </c>
      <c r="I239" s="448">
        <f t="shared" si="27"/>
        <v>202228484.408856</v>
      </c>
      <c r="J239" s="334">
        <v>40908</v>
      </c>
      <c r="K239" s="298"/>
      <c r="L239" s="311">
        <v>0.069</v>
      </c>
      <c r="M239" s="448">
        <f t="shared" si="28"/>
        <v>13953765.424211064</v>
      </c>
      <c r="N239" s="451">
        <f t="shared" si="29"/>
        <v>21467331.421863176</v>
      </c>
      <c r="O239" s="452">
        <f t="shared" si="30"/>
        <v>1788944.2851552647</v>
      </c>
      <c r="P239" s="470"/>
      <c r="Q239" s="346"/>
      <c r="R239" s="346"/>
    </row>
    <row r="240" spans="1:16" ht="12.75">
      <c r="A240" s="285">
        <f t="shared" si="31"/>
        <v>149</v>
      </c>
      <c r="B240" s="446" t="s">
        <v>392</v>
      </c>
      <c r="C240" s="442"/>
      <c r="D240" s="442"/>
      <c r="E240" s="447">
        <v>40909</v>
      </c>
      <c r="F240" s="447">
        <v>41274</v>
      </c>
      <c r="G240" s="290"/>
      <c r="H240" s="448">
        <f>SUMIF($J$17:$J$231,$J240,H$17:H$231)</f>
        <v>-15836285.282001218</v>
      </c>
      <c r="I240" s="448">
        <f>SUMIF($J$39:$J$231,$J240,I$39:I$231)</f>
        <v>304740924.8521458</v>
      </c>
      <c r="J240" s="334">
        <v>41274</v>
      </c>
      <c r="K240" s="298"/>
      <c r="L240" s="345" t="s">
        <v>327</v>
      </c>
      <c r="M240" s="448">
        <f t="shared" si="28"/>
        <v>22148157.895343624</v>
      </c>
      <c r="N240" s="451">
        <f t="shared" si="29"/>
        <v>34074089.06975942</v>
      </c>
      <c r="O240" s="452">
        <f t="shared" si="30"/>
        <v>2839507.4224799518</v>
      </c>
      <c r="P240" s="470"/>
    </row>
    <row r="241" spans="1:16" ht="12.75">
      <c r="A241" s="285">
        <f t="shared" si="31"/>
        <v>150</v>
      </c>
      <c r="B241" s="446" t="s">
        <v>393</v>
      </c>
      <c r="C241" s="442"/>
      <c r="D241" s="442"/>
      <c r="E241" s="447">
        <v>41275</v>
      </c>
      <c r="F241" s="447">
        <v>41639</v>
      </c>
      <c r="G241" s="290"/>
      <c r="H241" s="448">
        <f>SUMIF($J$17:$J$231,$J241,H$17:H$231)</f>
        <v>-15552612.866307111</v>
      </c>
      <c r="I241" s="448">
        <f>SUMIF($J$39:$J$231,$J241,I$39:I$231)</f>
        <v>293337010.502289</v>
      </c>
      <c r="J241" s="334">
        <v>41639</v>
      </c>
      <c r="K241" s="298"/>
      <c r="L241" s="311">
        <f>$O$3</f>
        <v>0.0729</v>
      </c>
      <c r="M241" s="448">
        <f t="shared" si="28"/>
        <v>21384268.06561687</v>
      </c>
      <c r="N241" s="451">
        <f t="shared" si="29"/>
        <v>32898873.947102875</v>
      </c>
      <c r="O241" s="452">
        <f t="shared" si="30"/>
        <v>2741572.8289252394</v>
      </c>
      <c r="P241" s="470"/>
    </row>
    <row r="242" spans="1:15" ht="12.75">
      <c r="A242" s="285">
        <f t="shared" si="31"/>
        <v>151</v>
      </c>
      <c r="B242" s="471"/>
      <c r="C242" s="472"/>
      <c r="D242" s="472"/>
      <c r="E242" s="473"/>
      <c r="F242" s="473"/>
      <c r="G242" s="438"/>
      <c r="H242" s="474"/>
      <c r="I242" s="474"/>
      <c r="J242" s="475"/>
      <c r="K242" s="476"/>
      <c r="L242" s="477"/>
      <c r="M242" s="478"/>
      <c r="N242" s="478"/>
      <c r="O242" s="479"/>
    </row>
    <row r="243" spans="1:14" ht="12.75">
      <c r="A243" s="285">
        <f t="shared" si="31"/>
        <v>152</v>
      </c>
      <c r="B243" s="480"/>
      <c r="C243" s="427"/>
      <c r="D243" s="427"/>
      <c r="E243" s="428"/>
      <c r="F243" s="428"/>
      <c r="G243" s="429"/>
      <c r="H243" s="430"/>
      <c r="I243" s="430"/>
      <c r="J243" s="431"/>
      <c r="K243" s="432"/>
      <c r="L243" s="481"/>
      <c r="M243" s="430"/>
      <c r="N243" s="430"/>
    </row>
    <row r="244" spans="1:19" ht="12.75">
      <c r="A244" s="285">
        <f t="shared" si="31"/>
        <v>153</v>
      </c>
      <c r="B244" s="482" t="s">
        <v>395</v>
      </c>
      <c r="S244" s="484"/>
    </row>
    <row r="245" spans="1:19" ht="12.75">
      <c r="A245" s="285"/>
      <c r="B245" s="482"/>
      <c r="S245" s="484"/>
    </row>
    <row r="246" spans="1:12" ht="12.75">
      <c r="A246" s="285"/>
      <c r="B246" s="482"/>
      <c r="F246" s="483"/>
      <c r="G246" s="483"/>
      <c r="H246" s="260"/>
      <c r="I246" s="247"/>
      <c r="J246" s="257"/>
      <c r="K246" s="257"/>
      <c r="L246" s="274"/>
    </row>
    <row r="247" spans="1:12" ht="12.75">
      <c r="A247" s="285"/>
      <c r="B247" s="485"/>
      <c r="F247" s="483"/>
      <c r="G247" s="483"/>
      <c r="H247" s="260"/>
      <c r="I247" s="247"/>
      <c r="J247" s="257"/>
      <c r="K247" s="257"/>
      <c r="L247" s="274"/>
    </row>
    <row r="248" ht="12.75">
      <c r="A248" s="285"/>
    </row>
    <row r="249" spans="1:2" ht="12.75">
      <c r="A249" s="285"/>
      <c r="B249" s="482"/>
    </row>
    <row r="250" spans="1:15" ht="12.75">
      <c r="A250" s="285"/>
      <c r="B250" s="485"/>
      <c r="G250" s="257"/>
      <c r="H250" s="257"/>
      <c r="I250" s="257"/>
      <c r="J250" s="257"/>
      <c r="K250" s="257"/>
      <c r="L250" s="257"/>
      <c r="O250" s="257"/>
    </row>
    <row r="251" spans="1:15" ht="12.75">
      <c r="A251" s="285"/>
      <c r="B251" s="482"/>
      <c r="G251" s="257"/>
      <c r="H251" s="257"/>
      <c r="I251" s="257"/>
      <c r="J251" s="257"/>
      <c r="K251" s="257"/>
      <c r="L251" s="257"/>
      <c r="O251" s="257"/>
    </row>
    <row r="252" spans="1:15" ht="12.75">
      <c r="A252" s="285"/>
      <c r="B252" s="486"/>
      <c r="G252" s="257"/>
      <c r="H252" s="257"/>
      <c r="I252" s="257"/>
      <c r="J252" s="257"/>
      <c r="K252" s="257"/>
      <c r="L252" s="257"/>
      <c r="O252" s="257"/>
    </row>
    <row r="253" spans="1:15" ht="12.75">
      <c r="A253" s="285"/>
      <c r="B253" s="486"/>
      <c r="G253" s="257"/>
      <c r="H253" s="257"/>
      <c r="I253" s="257"/>
      <c r="J253" s="257"/>
      <c r="K253" s="257"/>
      <c r="L253" s="257"/>
      <c r="O253" s="257"/>
    </row>
    <row r="310" ht="12.75"/>
    <row r="311" ht="12.75"/>
    <row r="312" ht="12.75"/>
    <row r="313" ht="12.75"/>
    <row r="314" ht="12.75"/>
  </sheetData>
  <sheetProtection/>
  <printOptions horizontalCentered="1"/>
  <pageMargins left="0.25" right="0.25" top="0.54" bottom="0.47" header="0.24" footer="0.22"/>
  <pageSetup cellComments="asDisplayed" firstPageNumber="8" useFirstPageNumber="1" fitToHeight="0" fitToWidth="1" horizontalDpi="600" verticalDpi="600" orientation="landscape" r:id="rId3"/>
  <rowBreaks count="3" manualBreakCount="3">
    <brk id="97" max="14" man="1"/>
    <brk id="152" max="14" man="1"/>
    <brk id="193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miov</dc:creator>
  <cp:keywords/>
  <dc:description/>
  <cp:lastModifiedBy>deschr</cp:lastModifiedBy>
  <cp:lastPrinted>2011-05-27T22:38:19Z</cp:lastPrinted>
  <dcterms:created xsi:type="dcterms:W3CDTF">2011-05-24T17:01:01Z</dcterms:created>
  <dcterms:modified xsi:type="dcterms:W3CDTF">2011-05-27T22:38:56Z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111049</vt:lpwstr>
  </property>
  <property fmtid="{D5CDD505-2E9C-101B-9397-08002B2CF9AE}" pid="6" name="IsConfidenti">
    <vt:lpwstr>0</vt:lpwstr>
  </property>
  <property fmtid="{D5CDD505-2E9C-101B-9397-08002B2CF9AE}" pid="7" name="Dat">
    <vt:lpwstr>2011-06-13T00:00:00Z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UG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