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Z:\_Annual Updates\2025\OASIS\"/>
    </mc:Choice>
  </mc:AlternateContent>
  <xr:revisionPtr revIDLastSave="0" documentId="13_ncr:1_{34B30935-5071-41F2-A699-AB4F7FC374C0}" xr6:coauthVersionLast="47" xr6:coauthVersionMax="47" xr10:uidLastSave="{00000000-0000-0000-0000-000000000000}"/>
  <bookViews>
    <workbookView xWindow="-120" yWindow="-120" windowWidth="29040" windowHeight="15720" firstSheet="1" activeTab="1" xr2:uid="{5DB3C56F-5D50-47F0-82A3-4E54CBBABE44}"/>
  </bookViews>
  <sheets>
    <sheet name="Notes" sheetId="30" state="hidden" r:id="rId1"/>
    <sheet name="Appendix A" sheetId="1" r:id="rId2"/>
    <sheet name="Appendix B" sheetId="2" r:id="rId3"/>
    <sheet name="Summary of Rates" sheetId="4" r:id="rId4"/>
    <sheet name="Att 1 - ADIT" sheetId="5" r:id="rId5"/>
    <sheet name="Att 1A - ADIT" sheetId="3" r:id="rId6"/>
    <sheet name="Att 1B - ADIT" sheetId="32" r:id="rId7"/>
    <sheet name="Att 1B - 2017 TCJA" sheetId="31" r:id="rId8"/>
    <sheet name="Att 1B - INSERT NAME" sheetId="33" r:id="rId9"/>
    <sheet name="Att 2 - Other Taxes" sheetId="6" r:id="rId10"/>
    <sheet name="Att 3 - Revenue Credits" sheetId="7" r:id="rId11"/>
    <sheet name="Att 4 - 100 Basis Point ROE" sheetId="10" r:id="rId12"/>
    <sheet name="Att 5 - Cost Support" sheetId="8" r:id="rId13"/>
    <sheet name="Att 6 - Est &amp; Reconcile WS" sheetId="9" r:id="rId14"/>
    <sheet name="Att 7 - Trans Enhance Charge" sheetId="11" r:id="rId15"/>
    <sheet name="ATT 8 - Dep rates" sheetId="12" r:id="rId16"/>
    <sheet name="Att 9a - 2025 Projection" sheetId="13" r:id="rId17"/>
    <sheet name="Att 9a1-2024 Actual" sheetId="34" r:id="rId18"/>
    <sheet name="Att 9a2-2023 Actual" sheetId="14" r:id="rId19"/>
    <sheet name="Att 9a3 - 2022 actual" sheetId="15" r:id="rId20"/>
    <sheet name="Att 9b - 2024 True-up" sheetId="18" r:id="rId21"/>
    <sheet name="Att 10 - Acc Amort of PIS" sheetId="19" r:id="rId22"/>
    <sheet name="Att 11 - Prepayments" sheetId="20" r:id="rId23"/>
    <sheet name="Att 12 - Plant Held Future Use" sheetId="21" r:id="rId24"/>
    <sheet name="Att 13 - Revenue Credit Detail" sheetId="16" r:id="rId25"/>
    <sheet name="Att 14 - Cost of Capital Detail" sheetId="22" r:id="rId26"/>
    <sheet name="Att 15 - GSU and Assoc'd Equip" sheetId="23" r:id="rId27"/>
    <sheet name="Att 16 - Unfunded Reserves" sheetId="24" r:id="rId28"/>
    <sheet name="Att 17 - PBOP" sheetId="25" r:id="rId29"/>
    <sheet name="PIS projection" sheetId="26" r:id="rId30"/>
    <sheet name="Gateway PIS Monthly" sheetId="29" r:id="rId31"/>
    <sheet name="FERC Form 1 data" sheetId="28" r:id="rId32"/>
    <sheet name="Inputs" sheetId="27" r:id="rId33"/>
  </sheets>
  <definedNames>
    <definedName name="__123Graph_A" localSheetId="8" hidden="1">#REF!</definedName>
    <definedName name="__123Graph_A" hidden="1">#REF!</definedName>
    <definedName name="__123Graph_B" localSheetId="8" hidden="1">#REF!</definedName>
    <definedName name="__123Graph_B" hidden="1">#REF!</definedName>
    <definedName name="__123Graph_C" localSheetId="8" hidden="1">#REF!</definedName>
    <definedName name="__123Graph_C" hidden="1">#REF!</definedName>
    <definedName name="__123Graph_D" localSheetId="8" hidden="1">#REF!</definedName>
    <definedName name="__123Graph_D" hidden="1">#REF!</definedName>
    <definedName name="__123Graph_E" localSheetId="8" hidden="1">#REF!</definedName>
    <definedName name="__123Graph_E" hidden="1">#REF!</definedName>
    <definedName name="__123Graph_F" hidden="1">#REF!</definedName>
    <definedName name="__123Graph_X" hidden="1">#REF!</definedName>
    <definedName name="_Fill" localSheetId="7" hidden="1">#REF!</definedName>
    <definedName name="_Fill" localSheetId="8" hidden="1">#REF!</definedName>
    <definedName name="_Fill" hidden="1">#REF!</definedName>
    <definedName name="_Key1" localSheetId="8" hidden="1">#REF!</definedName>
    <definedName name="_Key1" hidden="1">#REF!</definedName>
    <definedName name="_Key2" localSheetId="7" hidden="1">#REF!</definedName>
    <definedName name="_Key2" localSheetId="8" hidden="1">#REF!</definedName>
    <definedName name="_Key2" hidden="1">#REF!</definedName>
    <definedName name="_Order1" hidden="1">255</definedName>
    <definedName name="_Order2" hidden="1">255</definedName>
    <definedName name="_Sort" hidden="1">#REF!</definedName>
    <definedName name="Access_Button1" hidden="1">"Headcount_Workbook_Schedules_List"</definedName>
    <definedName name="AccessDatabase" hidden="1">"P:\HR\SharonPlummer\Headcount Workbook.mdb"</definedName>
    <definedName name="Allocator.gross.plant">'Appendix A'!$H$30</definedName>
    <definedName name="Allocator.net.plant">'Appendix A'!$H$33</definedName>
    <definedName name="Allocator.wages.salary">'Appendix A'!$H$18</definedName>
    <definedName name="AS2DocOpenMode" hidden="1">"AS2DocumentEdit"</definedName>
    <definedName name="combined1" localSheetId="7" hidden="1">{"YTD-Total",#N/A,TRUE,"Provision";"YTD-Utility",#N/A,TRUE,"Prov Utility";"YTD-NonUtility",#N/A,TRUE,"Prov NonUtility"}</definedName>
    <definedName name="combined1" localSheetId="8" hidden="1">{"YTD-Total",#N/A,TRUE,"Provision";"YTD-Utility",#N/A,TRUE,"Prov Utility";"YTD-NonUtility",#N/A,TRUE,"Prov NonUtility"}</definedName>
    <definedName name="combined1" hidden="1">{"YTD-Total",#N/A,TRUE,"Provision";"YTD-Utility",#N/A,TRUE,"Prov Utility";"YTD-NonUtility",#N/A,TRUE,"Prov NonUtility"}</definedName>
    <definedName name="data_year">'Appendix A'!$H$6</definedName>
    <definedName name="energy" localSheetId="7" hidden="1">{#N/A,#N/A,FALSE,"Bgt";#N/A,#N/A,FALSE,"Act";#N/A,#N/A,FALSE,"Chrt Data";#N/A,#N/A,FALSE,"Bus Result";#N/A,#N/A,FALSE,"Main Charts";#N/A,#N/A,FALSE,"P&amp;L Ttl";#N/A,#N/A,FALSE,"P&amp;L C_Ttl";#N/A,#N/A,FALSE,"P&amp;L C_Oct";#N/A,#N/A,FALSE,"P&amp;L C_Sep";#N/A,#N/A,FALSE,"1996";#N/A,#N/A,FALSE,"Data"}</definedName>
    <definedName name="energy" localSheetId="8" hidden="1">{#N/A,#N/A,FALSE,"Bgt";#N/A,#N/A,FALSE,"Act";#N/A,#N/A,FALSE,"Chrt Data";#N/A,#N/A,FALSE,"Bus Result";#N/A,#N/A,FALSE,"Main Charts";#N/A,#N/A,FALSE,"P&amp;L Ttl";#N/A,#N/A,FALSE,"P&amp;L C_Ttl";#N/A,#N/A,FALSE,"P&amp;L C_Oct";#N/A,#N/A,FALSE,"P&amp;L C_Sep";#N/A,#N/A,FALSE,"1996";#N/A,#N/A,FALSE,"Data"}</definedName>
    <definedName name="energy" hidden="1">{#N/A,#N/A,FALSE,"Bgt";#N/A,#N/A,FALSE,"Act";#N/A,#N/A,FALSE,"Chrt Data";#N/A,#N/A,FALSE,"Bus Result";#N/A,#N/A,FALSE,"Main Charts";#N/A,#N/A,FALSE,"P&amp;L Ttl";#N/A,#N/A,FALSE,"P&amp;L C_Ttl";#N/A,#N/A,FALSE,"P&amp;L C_Oct";#N/A,#N/A,FALSE,"P&amp;L C_Sep";#N/A,#N/A,FALSE,"1996";#N/A,#N/A,FALSE,"Data"}</definedName>
    <definedName name="enrgy" localSheetId="7" hidden="1">{#N/A,#N/A,FALSE,"Bgt";#N/A,#N/A,FALSE,"Act";#N/A,#N/A,FALSE,"Chrt Data";#N/A,#N/A,FALSE,"Bus Result";#N/A,#N/A,FALSE,"Main Charts";#N/A,#N/A,FALSE,"P&amp;L Ttl";#N/A,#N/A,FALSE,"P&amp;L C_Ttl";#N/A,#N/A,FALSE,"P&amp;L C_Oct";#N/A,#N/A,FALSE,"P&amp;L C_Sep";#N/A,#N/A,FALSE,"1996";#N/A,#N/A,FALSE,"Data"}</definedName>
    <definedName name="enrgy" localSheetId="8" hidden="1">{#N/A,#N/A,FALSE,"Bgt";#N/A,#N/A,FALSE,"Act";#N/A,#N/A,FALSE,"Chrt Data";#N/A,#N/A,FALSE,"Bus Result";#N/A,#N/A,FALSE,"Main Charts";#N/A,#N/A,FALSE,"P&amp;L Ttl";#N/A,#N/A,FALSE,"P&amp;L C_Ttl";#N/A,#N/A,FALSE,"P&amp;L C_Oct";#N/A,#N/A,FALSE,"P&amp;L C_Sep";#N/A,#N/A,FALSE,"1996";#N/A,#N/A,FALSE,"Data"}</definedName>
    <definedName name="enrgy" hidden="1">{#N/A,#N/A,FALSE,"Bgt";#N/A,#N/A,FALSE,"Act";#N/A,#N/A,FALSE,"Chrt Data";#N/A,#N/A,FALSE,"Bus Result";#N/A,#N/A,FALSE,"Main Charts";#N/A,#N/A,FALSE,"P&amp;L Ttl";#N/A,#N/A,FALSE,"P&amp;L C_Ttl";#N/A,#N/A,FALSE,"P&amp;L C_Oct";#N/A,#N/A,FALSE,"P&amp;L C_Sep";#N/A,#N/A,FALSE,"1996";#N/A,#N/A,FALSE,"Data"}</definedName>
    <definedName name="FF1_INPUT">'FERC Form 1 data'!$B$6:$K$66</definedName>
    <definedName name="FF1_INPUT_columns">'FERC Form 1 data'!$B$5:$K$5</definedName>
    <definedName name="foo" localSheetId="7" hidden="1">{#N/A,#N/A,FALSE,"Bgt";#N/A,#N/A,FALSE,"Act";#N/A,#N/A,FALSE,"Chrt Data";#N/A,#N/A,FALSE,"Bus Result";#N/A,#N/A,FALSE,"Main Charts";#N/A,#N/A,FALSE,"P&amp;L Ttl";#N/A,#N/A,FALSE,"P&amp;L C_Ttl";#N/A,#N/A,FALSE,"P&amp;L C_Oct";#N/A,#N/A,FALSE,"P&amp;L C_Sep";#N/A,#N/A,FALSE,"1996";#N/A,#N/A,FALSE,"Data"}</definedName>
    <definedName name="foo" localSheetId="8" hidden="1">{#N/A,#N/A,FALSE,"Bgt";#N/A,#N/A,FALSE,"Act";#N/A,#N/A,FALSE,"Chrt Data";#N/A,#N/A,FALSE,"Bus Result";#N/A,#N/A,FALSE,"Main Charts";#N/A,#N/A,FALSE,"P&amp;L Ttl";#N/A,#N/A,FALSE,"P&amp;L C_Ttl";#N/A,#N/A,FALSE,"P&amp;L C_Oct";#N/A,#N/A,FALSE,"P&amp;L C_Sep";#N/A,#N/A,FALSE,"1996";#N/A,#N/A,FALSE,"Data"}</definedName>
    <definedName name="foo" hidden="1">{#N/A,#N/A,FALSE,"Bgt";#N/A,#N/A,FALSE,"Act";#N/A,#N/A,FALSE,"Chrt Data";#N/A,#N/A,FALSE,"Bus Result";#N/A,#N/A,FALSE,"Main Charts";#N/A,#N/A,FALSE,"P&amp;L Ttl";#N/A,#N/A,FALSE,"P&amp;L C_Ttl";#N/A,#N/A,FALSE,"P&amp;L C_Oct";#N/A,#N/A,FALSE,"P&amp;L C_Sep";#N/A,#N/A,FALSE,"1996";#N/A,#N/A,FALSE,"Data"}</definedName>
    <definedName name="Inputs_EndYrBal">Inputs!$E$16:$E$82</definedName>
    <definedName name="Inputs_EndYrBal_prior">Inputs!$D$16:$D$82</definedName>
    <definedName name="Inputs_FF1_Map">Inputs!$F$16:$F$82</definedName>
    <definedName name="Keep" localSheetId="8" hidden="1">{"PRINT",#N/A,TRUE,"APPA";"PRINT",#N/A,TRUE,"APS";"PRINT",#N/A,TRUE,"BHPL";"PRINT",#N/A,TRUE,"BHPL2";"PRINT",#N/A,TRUE,"CDWR";"PRINT",#N/A,TRUE,"EWEB";"PRINT",#N/A,TRUE,"LADWP";"PRINT",#N/A,TRUE,"NEVBASE"}</definedName>
    <definedName name="Keep" hidden="1">{"PRINT",#N/A,TRUE,"APPA";"PRINT",#N/A,TRUE,"APS";"PRINT",#N/A,TRUE,"BHPL";"PRINT",#N/A,TRUE,"BHPL2";"PRINT",#N/A,TRUE,"CDWR";"PRINT",#N/A,TRUE,"EWEB";"PRINT",#N/A,TRUE,"LADWP";"PRINT",#N/A,TRUE,"NEVBASE"}</definedName>
    <definedName name="keep2" localSheetId="8" hidden="1">{"PRINT",#N/A,TRUE,"APPA";"PRINT",#N/A,TRUE,"APS";"PRINT",#N/A,TRUE,"BHPL";"PRINT",#N/A,TRUE,"BHPL2";"PRINT",#N/A,TRUE,"CDWR";"PRINT",#N/A,TRUE,"EWEB";"PRINT",#N/A,TRUE,"LADWP";"PRINT",#N/A,TRUE,"NEVBASE"}</definedName>
    <definedName name="keep2" hidden="1">{"PRINT",#N/A,TRUE,"APPA";"PRINT",#N/A,TRUE,"APS";"PRINT",#N/A,TRUE,"BHPL";"PRINT",#N/A,TRUE,"BHPL2";"PRINT",#N/A,TRUE,"CDWR";"PRINT",#N/A,TRUE,"EWEB";"PRINT",#N/A,TRUE,"LADWP";"PRINT",#N/A,TRUE,"NEVBASE"}</definedName>
    <definedName name="Master" localSheetId="7" hidden="1">{#N/A,#N/A,FALSE,"Actual";#N/A,#N/A,FALSE,"Normalized";#N/A,#N/A,FALSE,"Electric Actual";#N/A,#N/A,FALSE,"Electric Normalized"}</definedName>
    <definedName name="Master" localSheetId="8" hidden="1">{#N/A,#N/A,FALSE,"Actual";#N/A,#N/A,FALSE,"Normalized";#N/A,#N/A,FALSE,"Electric Actual";#N/A,#N/A,FALSE,"Electric Normalized"}</definedName>
    <definedName name="Master" hidden="1">{#N/A,#N/A,FALSE,"Actual";#N/A,#N/A,FALSE,"Normalized";#N/A,#N/A,FALSE,"Electric Actual";#N/A,#N/A,FALSE,"Electric Normalized"}</definedName>
    <definedName name="others" localSheetId="7" hidden="1">{"Factors Pages 1-2",#N/A,FALSE,"Factors";"Factors Page 3",#N/A,FALSE,"Factors";"Factors Page 4",#N/A,FALSE,"Factors";"Factors Page 5",#N/A,FALSE,"Factors";"Factors Pages 8-27",#N/A,FALSE,"Factors"}</definedName>
    <definedName name="others" localSheetId="8" hidden="1">{"Factors Pages 1-2",#N/A,FALSE,"Factors";"Factors Page 3",#N/A,FALSE,"Factors";"Factors Page 4",#N/A,FALSE,"Factors";"Factors Page 5",#N/A,FALSE,"Factors";"Factors Pages 8-27",#N/A,FALSE,"Factors"}</definedName>
    <definedName name="others" hidden="1">{"Factors Pages 1-2",#N/A,FALSE,"Factors";"Factors Page 3",#N/A,FALSE,"Factors";"Factors Page 4",#N/A,FALSE,"Factors";"Factors Page 5",#N/A,FALSE,"Factors";"Factors Pages 8-27",#N/A,FALSE,"Factors"}</definedName>
    <definedName name="pete" localSheetId="7" hidden="1">{#N/A,#N/A,FALSE,"Bgt";#N/A,#N/A,FALSE,"Act";#N/A,#N/A,FALSE,"Chrt Data";#N/A,#N/A,FALSE,"Bus Result";#N/A,#N/A,FALSE,"Main Charts";#N/A,#N/A,FALSE,"P&amp;L Ttl";#N/A,#N/A,FALSE,"P&amp;L C_Ttl";#N/A,#N/A,FALSE,"P&amp;L C_Oct";#N/A,#N/A,FALSE,"P&amp;L C_Sep";#N/A,#N/A,FALSE,"1996";#N/A,#N/A,FALSE,"Data"}</definedName>
    <definedName name="pete" localSheetId="8" hidden="1">{#N/A,#N/A,FALSE,"Bgt";#N/A,#N/A,FALSE,"Act";#N/A,#N/A,FALSE,"Chrt Data";#N/A,#N/A,FALSE,"Bus Result";#N/A,#N/A,FALSE,"Main Charts";#N/A,#N/A,FALSE,"P&amp;L Ttl";#N/A,#N/A,FALSE,"P&amp;L C_Ttl";#N/A,#N/A,FALSE,"P&amp;L C_Oct";#N/A,#N/A,FALSE,"P&amp;L C_Sep";#N/A,#N/A,FALSE,"1996";#N/A,#N/A,FALSE,"Data"}</definedName>
    <definedName name="pete" hidden="1">{#N/A,#N/A,FALSE,"Bgt";#N/A,#N/A,FALSE,"Act";#N/A,#N/A,FALSE,"Chrt Data";#N/A,#N/A,FALSE,"Bus Result";#N/A,#N/A,FALSE,"Main Charts";#N/A,#N/A,FALSE,"P&amp;L Ttl";#N/A,#N/A,FALSE,"P&amp;L C_Ttl";#N/A,#N/A,FALSE,"P&amp;L C_Oct";#N/A,#N/A,FALSE,"P&amp;L C_Sep";#N/A,#N/A,FALSE,"1996";#N/A,#N/A,FALSE,"Data"}</definedName>
    <definedName name="_xlnm.Print_Area" localSheetId="1">'Appendix A'!$A$1:$H$335</definedName>
    <definedName name="_xlnm.Print_Area" localSheetId="2">'Appendix B'!$A$1:$E$31</definedName>
    <definedName name="_xlnm.Print_Area" localSheetId="4">'Att 1 - ADIT'!$A$1:$J$415</definedName>
    <definedName name="_xlnm.Print_Area" localSheetId="21">'Att 10 - Acc Amort of PIS'!$B$1:$E$13</definedName>
    <definedName name="_xlnm.Print_Area" localSheetId="22">'Att 11 - Prepayments'!$B$1:$L$75</definedName>
    <definedName name="_xlnm.Print_Area" localSheetId="23">'Att 12 - Plant Held Future Use'!$B$1:$E$18</definedName>
    <definedName name="_xlnm.Print_Area" localSheetId="24">'Att 13 - Revenue Credit Detail'!$A$1:$H$59</definedName>
    <definedName name="_xlnm.Print_Area" localSheetId="25">'Att 14 - Cost of Capital Detail'!$A$1:$R$37</definedName>
    <definedName name="_xlnm.Print_Area" localSheetId="26">'Att 15 - GSU and Assoc''d Equip'!$B$1:$C$28</definedName>
    <definedName name="_xlnm.Print_Area" localSheetId="27">'Att 16 - Unfunded Reserves'!$A$1:$AG$65</definedName>
    <definedName name="_xlnm.Print_Area" localSheetId="28">'Att 17 - PBOP'!$B$1:$D$65</definedName>
    <definedName name="_xlnm.Print_Area" localSheetId="5">'Att 1A - ADIT'!$A$1:$J$431</definedName>
    <definedName name="_xlnm.Print_Area" localSheetId="7">'Att 1B - 2017 TCJA'!$B$1:$AT$94</definedName>
    <definedName name="_xlnm.Print_Area" localSheetId="6">'Att 1B - ADIT'!$A$1:$G$22</definedName>
    <definedName name="_xlnm.Print_Area" localSheetId="8">'Att 1B - INSERT NAME'!$B$1:$AT$89</definedName>
    <definedName name="_xlnm.Print_Area" localSheetId="9">'Att 2 - Other Taxes'!$A$1:$F$58</definedName>
    <definedName name="_xlnm.Print_Area" localSheetId="10">'Att 3 - Revenue Credits'!$A$1:$E$50</definedName>
    <definedName name="_xlnm.Print_Area" localSheetId="11">'Att 4 - 100 Basis Point ROE'!$A$1:$I$50</definedName>
    <definedName name="_xlnm.Print_Area" localSheetId="12">'Att 5 - Cost Support'!$A$1:$M$326</definedName>
    <definedName name="_xlnm.Print_Area" localSheetId="13">'Att 6 - Est &amp; Reconcile WS'!$A$1:$W$69</definedName>
    <definedName name="_xlnm.Print_Area" localSheetId="14">'Att 7 - Trans Enhance Charge'!$A$1:$T$71</definedName>
    <definedName name="_xlnm.Print_Area" localSheetId="15">'ATT 8 - Dep rates'!$A$1:$Z$54</definedName>
    <definedName name="_xlnm.Print_Area" localSheetId="16">'Att 9a - 2025 Projection'!$B$1:$AO$43</definedName>
    <definedName name="_xlnm.Print_Area" localSheetId="17">'Att 9a1-2024 Actual'!$B$1:$AA$43</definedName>
    <definedName name="_xlnm.Print_Area" localSheetId="18">'Att 9a2-2023 Actual'!$B$1:$Z$43</definedName>
    <definedName name="_xlnm.Print_Area" localSheetId="19">'Att 9a3 - 2022 actual'!$B$1:$Z$43</definedName>
    <definedName name="_xlnm.Print_Area" localSheetId="20">'Att 9b - 2024 True-up'!$A$1:$AV$44</definedName>
    <definedName name="_xlnm.Print_Area" localSheetId="3">'Summary of Rates'!$A$1:$F$46</definedName>
    <definedName name="_xlnm.Print_Titles" localSheetId="1">'Appendix A'!$1:$7</definedName>
    <definedName name="_xlnm.Print_Titles" localSheetId="12">'Att 5 - Cost Support'!$1:$2</definedName>
    <definedName name="Projection">'Appendix A'!$S$6</definedName>
    <definedName name="retail" localSheetId="8" hidden="1">{#N/A,#N/A,FALSE,"Loans";#N/A,#N/A,FALSE,"Program Costs";#N/A,#N/A,FALSE,"Measures";#N/A,#N/A,FALSE,"Net Lost Rev";#N/A,#N/A,FALSE,"Incentive"}</definedName>
    <definedName name="retail" hidden="1">{#N/A,#N/A,FALSE,"Loans";#N/A,#N/A,FALSE,"Program Costs";#N/A,#N/A,FALSE,"Measures";#N/A,#N/A,FALSE,"Net Lost Rev";#N/A,#N/A,FALSE,"Incentive"}</definedName>
    <definedName name="retail_CC" localSheetId="8" hidden="1">{#N/A,#N/A,FALSE,"Loans";#N/A,#N/A,FALSE,"Program Costs";#N/A,#N/A,FALSE,"Measures";#N/A,#N/A,FALSE,"Net Lost Rev";#N/A,#N/A,FALSE,"Incentive"}</definedName>
    <definedName name="retail_CC" hidden="1">{#N/A,#N/A,FALSE,"Loans";#N/A,#N/A,FALSE,"Program Costs";#N/A,#N/A,FALSE,"Measures";#N/A,#N/A,FALSE,"Net Lost Rev";#N/A,#N/A,FALSE,"Incentive"}</definedName>
    <definedName name="retail_CC1" localSheetId="8" hidden="1">{#N/A,#N/A,FALSE,"Loans";#N/A,#N/A,FALSE,"Program Costs";#N/A,#N/A,FALSE,"Measures";#N/A,#N/A,FALSE,"Net Lost Rev";#N/A,#N/A,FALSE,"Incentive"}</definedName>
    <definedName name="retail_CC1" hidden="1">{#N/A,#N/A,FALSE,"Loans";#N/A,#N/A,FALSE,"Program Costs";#N/A,#N/A,FALSE,"Measures";#N/A,#N/A,FALSE,"Net Lost Rev";#N/A,#N/A,FALSE,"Incentive"}</definedName>
    <definedName name="SAPBEXdnldView" hidden="1">"47H3GQ5Y9OPLAPZ9BSG9GQU53"</definedName>
    <definedName name="SAPBEXrevision" hidden="1">1</definedName>
    <definedName name="SAPBEXsysID" hidden="1">"BWP"</definedName>
    <definedName name="SAPBEXwbID" hidden="1">"45EQYSCWE9WJMGB34OOD1BOQZ"</definedName>
    <definedName name="shit" localSheetId="8" hidden="1">{"PRINT",#N/A,TRUE,"APPA";"PRINT",#N/A,TRUE,"APS";"PRINT",#N/A,TRUE,"BHPL";"PRINT",#N/A,TRUE,"BHPL2";"PRINT",#N/A,TRUE,"CDWR";"PRINT",#N/A,TRUE,"EWEB";"PRINT",#N/A,TRUE,"LADWP";"PRINT",#N/A,TRUE,"NEVBASE"}</definedName>
    <definedName name="shit" hidden="1">{"PRINT",#N/A,TRUE,"APPA";"PRINT",#N/A,TRUE,"APS";"PRINT",#N/A,TRUE,"BHPL";"PRINT",#N/A,TRUE,"BHPL2";"PRINT",#N/A,TRUE,"CDWR";"PRINT",#N/A,TRUE,"EWEB";"PRINT",#N/A,TRUE,"LADWP";"PRINT",#N/A,TRUE,"NEVBASE"}</definedName>
    <definedName name="spippw" localSheetId="7" hidden="1">{#N/A,#N/A,FALSE,"Actual";#N/A,#N/A,FALSE,"Normalized";#N/A,#N/A,FALSE,"Electric Actual";#N/A,#N/A,FALSE,"Electric Normalized"}</definedName>
    <definedName name="spippw" localSheetId="8" hidden="1">{#N/A,#N/A,FALSE,"Actual";#N/A,#N/A,FALSE,"Normalized";#N/A,#N/A,FALSE,"Electric Actual";#N/A,#N/A,FALSE,"Electric Normalized"}</definedName>
    <definedName name="spippw" hidden="1">{#N/A,#N/A,FALSE,"Actual";#N/A,#N/A,FALSE,"Normalized";#N/A,#N/A,FALSE,"Electric Actual";#N/A,#N/A,FALSE,"Electric Normalized"}</definedName>
    <definedName name="standard1" localSheetId="7" hidden="1">{"YTD-Total",#N/A,FALSE,"Provision"}</definedName>
    <definedName name="standard1" localSheetId="8" hidden="1">{"YTD-Total",#N/A,FALSE,"Provision"}</definedName>
    <definedName name="standard1" hidden="1">{"YTD-Total",#N/A,FALSE,"Provision"}</definedName>
    <definedName name="Toggle">'Appendix A'!$H$7</definedName>
    <definedName name="Toggle.list">'Appendix A'!$S$6:$S$7</definedName>
    <definedName name="True_up">'Appendix A'!$S$7</definedName>
    <definedName name="wrn.Aging._.and._.Trend._.Analysis." localSheetId="7" hidden="1">{#N/A,#N/A,FALSE,"Aging Summary";#N/A,#N/A,FALSE,"Ratio Analysis";#N/A,#N/A,FALSE,"Test 120 Day Accts";#N/A,#N/A,FALSE,"Tickmarks"}</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LL." localSheetId="7" hidden="1">{#N/A,#N/A,FALSE,"Summary EPS";#N/A,#N/A,FALSE,"1st Qtr Electric";#N/A,#N/A,FALSE,"1st Qtr Australia";#N/A,#N/A,FALSE,"1st Qtr Telecom";#N/A,#N/A,FALSE,"1st QTR Other"}</definedName>
    <definedName name="wrn.ALL." localSheetId="8" hidden="1">{#N/A,#N/A,FALSE,"Summary EPS";#N/A,#N/A,FALSE,"1st Qtr Electric";#N/A,#N/A,FALSE,"1st Qtr Australia";#N/A,#N/A,FALSE,"1st Qtr Telecom";#N/A,#N/A,FALSE,"1st QTR Other"}</definedName>
    <definedName name="wrn.ALL." hidden="1">{#N/A,#N/A,FALSE,"Summary EPS";#N/A,#N/A,FALSE,"1st Qtr Electric";#N/A,#N/A,FALSE,"1st Qtr Australia";#N/A,#N/A,FALSE,"1st Qtr Telecom";#N/A,#N/A,FALSE,"1st QTR Other"}</definedName>
    <definedName name="wrn.All._.Pages." localSheetId="8" hidden="1">{#N/A,#N/A,FALSE,"Cover";#N/A,#N/A,FALSE,"Lead Sheet";#N/A,#N/A,FALSE,"T-Accounts";#N/A,#N/A,FALSE,"Ins &amp; Prem ActualEstimates"}</definedName>
    <definedName name="wrn.All._.Pages." hidden="1">{#N/A,#N/A,FALSE,"Cover";#N/A,#N/A,FALSE,"Lead Sheet";#N/A,#N/A,FALSE,"T-Accounts";#N/A,#N/A,FALSE,"Ins &amp; Prem ActualEstimates"}</definedName>
    <definedName name="wrn.BUS._.RPT." localSheetId="7" hidden="1">{#N/A,#N/A,FALSE,"P&amp;L Ttl";#N/A,#N/A,FALSE,"P&amp;L C_Ttl New";#N/A,#N/A,FALSE,"Bus Res";#N/A,#N/A,FALSE,"Chrts";#N/A,#N/A,FALSE,"pcf";#N/A,#N/A,FALSE,"pcr ";#N/A,#N/A,FALSE,"Exp Stmt ";#N/A,#N/A,FALSE,"Exp Stmt BU";#N/A,#N/A,FALSE,"Cap";#N/A,#N/A,FALSE,"IT Ytd"}</definedName>
    <definedName name="wrn.BUS._.RPT." localSheetId="8" hidden="1">{#N/A,#N/A,FALSE,"P&amp;L Ttl";#N/A,#N/A,FALSE,"P&amp;L C_Ttl New";#N/A,#N/A,FALSE,"Bus Res";#N/A,#N/A,FALSE,"Chrts";#N/A,#N/A,FALSE,"pcf";#N/A,#N/A,FALSE,"pcr ";#N/A,#N/A,FALSE,"Exp Stmt ";#N/A,#N/A,FALSE,"Exp Stmt BU";#N/A,#N/A,FALSE,"Cap";#N/A,#N/A,FALSE,"IT Ytd"}</definedName>
    <definedName name="wrn.BUS._.RPT." hidden="1">{#N/A,#N/A,FALSE,"P&amp;L Ttl";#N/A,#N/A,FALSE,"P&amp;L C_Ttl New";#N/A,#N/A,FALSE,"Bus Res";#N/A,#N/A,FALSE,"Chrts";#N/A,#N/A,FALSE,"pcf";#N/A,#N/A,FALSE,"pcr ";#N/A,#N/A,FALSE,"Exp Stmt ";#N/A,#N/A,FALSE,"Exp Stmt BU";#N/A,#N/A,FALSE,"Cap";#N/A,#N/A,FALSE,"IT Ytd"}</definedName>
    <definedName name="wrn.Combined._.YTD." localSheetId="7" hidden="1">{"YTD-Total",#N/A,TRUE,"Provision";"YTD-Utility",#N/A,TRUE,"Prov Utility";"YTD-NonUtility",#N/A,TRUE,"Prov NonUtility"}</definedName>
    <definedName name="wrn.Combined._.YTD." localSheetId="8" hidden="1">{"YTD-Total",#N/A,TRUE,"Provision";"YTD-Utility",#N/A,TRUE,"Prov Utility";"YTD-NonUtility",#N/A,TRUE,"Prov NonUtility"}</definedName>
    <definedName name="wrn.Combined._.YTD." hidden="1">{"YTD-Total",#N/A,TRUE,"Provision";"YTD-Utility",#N/A,TRUE,"Prov Utility";"YTD-NonUtility",#N/A,TRUE,"Prov NonUtility"}</definedName>
    <definedName name="wrn.ConsolGrossGrp." localSheetId="7" hidden="1">{"Conol gross povision grouped",#N/A,FALSE,"Consol Gross";"Consol Gross Grouped",#N/A,FALSE,"Consol Gross"}</definedName>
    <definedName name="wrn.ConsolGrossGrp." localSheetId="8" hidden="1">{"Conol gross povision grouped",#N/A,FALSE,"Consol Gross";"Consol Gross Grouped",#N/A,FALSE,"Consol Gross"}</definedName>
    <definedName name="wrn.ConsolGrossGrp." hidden="1">{"Conol gross povision grouped",#N/A,FALSE,"Consol Gross";"Consol Gross Grouped",#N/A,FALSE,"Consol Gross"}</definedName>
    <definedName name="wrn.Factors._.Tab._.10." localSheetId="8" hidden="1">{"Factors Pages 1-2",#N/A,FALSE,"Factors";"Factors Page 3",#N/A,FALSE,"Factors";"Factors Page 4",#N/A,FALSE,"Factors";"Factors Page 5",#N/A,FALSE,"Factors";"Factors Pages 8-27",#N/A,FALSE,"Factors"}</definedName>
    <definedName name="wrn.Factors._.Tab._.10." hidden="1">{"Factors Pages 1-2",#N/A,FALSE,"Factors";"Factors Page 3",#N/A,FALSE,"Factors";"Factors Page 4",#N/A,FALSE,"Factors";"Factors Page 5",#N/A,FALSE,"Factors";"Factors Pages 8-27",#N/A,FALSE,"Factors"}</definedName>
    <definedName name="wrn.Full._.View." localSheetId="7" hidden="1">{"FullView",#N/A,FALSE,"Consltd-For contngcy"}</definedName>
    <definedName name="wrn.Full._.View." localSheetId="8" hidden="1">{"FullView",#N/A,FALSE,"Consltd-For contngcy"}</definedName>
    <definedName name="wrn.Full._.View." hidden="1">{"FullView",#N/A,FALSE,"Consltd-For contngcy"}</definedName>
    <definedName name="wrn.Open._.Issues._.Only." localSheetId="7" hidden="1">{"Open issues Only",#N/A,FALSE,"TIMELINE"}</definedName>
    <definedName name="wrn.Open._.Issues._.Only." localSheetId="8" hidden="1">{"Open issues Only",#N/A,FALSE,"TIMELINE"}</definedName>
    <definedName name="wrn.Open._.Issues._.Only." hidden="1">{"Open issues Only",#N/A,FALSE,"TIMELINE"}</definedName>
    <definedName name="wrn.OR._.Carrying._.Charge._.JV." localSheetId="8" hidden="1">{#N/A,#N/A,FALSE,"Loans";#N/A,#N/A,FALSE,"Program Costs";#N/A,#N/A,FALSE,"Measures";#N/A,#N/A,FALSE,"Net Lost Rev";#N/A,#N/A,FALSE,"Incentive"}</definedName>
    <definedName name="wrn.OR._.Carrying._.Charge._.JV." hidden="1">{#N/A,#N/A,FALSE,"Loans";#N/A,#N/A,FALSE,"Program Costs";#N/A,#N/A,FALSE,"Measures";#N/A,#N/A,FALSE,"Net Lost Rev";#N/A,#N/A,FALSE,"Incentive"}</definedName>
    <definedName name="wrn.OR._.Carrying._.Charge._.JV.1" localSheetId="8" hidden="1">{#N/A,#N/A,FALSE,"Loans";#N/A,#N/A,FALSE,"Program Costs";#N/A,#N/A,FALSE,"Measures";#N/A,#N/A,FALSE,"Net Lost Rev";#N/A,#N/A,FALSE,"Incentive"}</definedName>
    <definedName name="wrn.OR._.Carrying._.Charge._.JV.1" hidden="1">{#N/A,#N/A,FALSE,"Loans";#N/A,#N/A,FALSE,"Program Costs";#N/A,#N/A,FALSE,"Measures";#N/A,#N/A,FALSE,"Net Lost Rev";#N/A,#N/A,FALSE,"Incentive"}</definedName>
    <definedName name="wrn.pages." localSheetId="7" hidden="1">{#N/A,#N/A,FALSE,"Bgt";#N/A,#N/A,FALSE,"Act";#N/A,#N/A,FALSE,"Chrt Data";#N/A,#N/A,FALSE,"Bus Result";#N/A,#N/A,FALSE,"Main Charts";#N/A,#N/A,FALSE,"P&amp;L Ttl";#N/A,#N/A,FALSE,"P&amp;L C_Ttl";#N/A,#N/A,FALSE,"P&amp;L C_Oct";#N/A,#N/A,FALSE,"P&amp;L C_Sep";#N/A,#N/A,FALSE,"1996";#N/A,#N/A,FALSE,"Data"}</definedName>
    <definedName name="wrn.pages." localSheetId="8" hidden="1">{#N/A,#N/A,FALSE,"Bgt";#N/A,#N/A,FALSE,"Act";#N/A,#N/A,FALSE,"Chrt Data";#N/A,#N/A,FALSE,"Bus Result";#N/A,#N/A,FALSE,"Main Charts";#N/A,#N/A,FALSE,"P&amp;L Ttl";#N/A,#N/A,FALSE,"P&amp;L C_Ttl";#N/A,#N/A,FALSE,"P&amp;L C_Oct";#N/A,#N/A,FALSE,"P&amp;L C_Sep";#N/A,#N/A,FALSE,"1996";#N/A,#N/A,FALSE,"Data"}</definedName>
    <definedName name="wrn.pages." hidden="1">{#N/A,#N/A,FALSE,"Bgt";#N/A,#N/A,FALSE,"Act";#N/A,#N/A,FALSE,"Chrt Data";#N/A,#N/A,FALSE,"Bus Result";#N/A,#N/A,FALSE,"Main Charts";#N/A,#N/A,FALSE,"P&amp;L Ttl";#N/A,#N/A,FALSE,"P&amp;L C_Ttl";#N/A,#N/A,FALSE,"P&amp;L C_Oct";#N/A,#N/A,FALSE,"P&amp;L C_Sep";#N/A,#N/A,FALSE,"1996";#N/A,#N/A,FALSE,"Data"}</definedName>
    <definedName name="wrn.Payment._.View." localSheetId="7" hidden="1">{#N/A,#N/A,FALSE,"Consltd-For contngcy";"PaymentView",#N/A,FALSE,"Consltd-For contngcy"}</definedName>
    <definedName name="wrn.Payment._.View." localSheetId="8" hidden="1">{#N/A,#N/A,FALSE,"Consltd-For contngcy";"PaymentView",#N/A,FALSE,"Consltd-For contngcy"}</definedName>
    <definedName name="wrn.Payment._.View." hidden="1">{#N/A,#N/A,FALSE,"Consltd-For contngcy";"PaymentView",#N/A,FALSE,"Consltd-For contngcy"}</definedName>
    <definedName name="wrn.PFSreconview." localSheetId="7" hidden="1">{"PFS recon view",#N/A,FALSE,"Hyperion Proof"}</definedName>
    <definedName name="wrn.PFSreconview." localSheetId="8" hidden="1">{"PFS recon view",#N/A,FALSE,"Hyperion Proof"}</definedName>
    <definedName name="wrn.PFSreconview." hidden="1">{"PFS recon view",#N/A,FALSE,"Hyperion Proof"}</definedName>
    <definedName name="wrn.PGHCreconview." localSheetId="7" hidden="1">{"PGHC recon view",#N/A,FALSE,"Hyperion Proof"}</definedName>
    <definedName name="wrn.PGHCreconview." localSheetId="8" hidden="1">{"PGHC recon view",#N/A,FALSE,"Hyperion Proof"}</definedName>
    <definedName name="wrn.PGHCreconview." hidden="1">{"PGHC recon view",#N/A,FALSE,"Hyperion Proof"}</definedName>
    <definedName name="wrn.PPMCoCodeView." localSheetId="7" hidden="1">{"PPM Co Code View",#N/A,FALSE,"Comp Codes"}</definedName>
    <definedName name="wrn.PPMCoCodeView." localSheetId="8" hidden="1">{"PPM Co Code View",#N/A,FALSE,"Comp Codes"}</definedName>
    <definedName name="wrn.PPMCoCodeView." hidden="1">{"PPM Co Code View",#N/A,FALSE,"Comp Codes"}</definedName>
    <definedName name="wrn.PPMreconview." localSheetId="7" hidden="1">{"PPM Recon View",#N/A,FALSE,"Hyperion Proof"}</definedName>
    <definedName name="wrn.PPMreconview." localSheetId="8" hidden="1">{"PPM Recon View",#N/A,FALSE,"Hyperion Proof"}</definedName>
    <definedName name="wrn.PPMreconview." hidden="1">{"PPM Recon View",#N/A,FALSE,"Hyperion Proof"}</definedName>
    <definedName name="wrn.ProofElectricOnly." localSheetId="7" hidden="1">{"Electric Only",#N/A,FALSE,"Hyperion Proof"}</definedName>
    <definedName name="wrn.ProofElectricOnly." localSheetId="8" hidden="1">{"Electric Only",#N/A,FALSE,"Hyperion Proof"}</definedName>
    <definedName name="wrn.ProofElectricOnly." hidden="1">{"Electric Only",#N/A,FALSE,"Hyperion Proof"}</definedName>
    <definedName name="wrn.ProofTotal." localSheetId="7" hidden="1">{"Proof Total",#N/A,FALSE,"Hyperion Proof"}</definedName>
    <definedName name="wrn.ProofTotal." localSheetId="8" hidden="1">{"Proof Total",#N/A,FALSE,"Hyperion Proof"}</definedName>
    <definedName name="wrn.ProofTotal." hidden="1">{"Proof Total",#N/A,FALSE,"Hyperion Proof"}</definedName>
    <definedName name="wrn.Reformat._.only." localSheetId="7" hidden="1">{#N/A,#N/A,FALSE,"Dec 1999 mapping"}</definedName>
    <definedName name="wrn.Reformat._.only." localSheetId="8" hidden="1">{#N/A,#N/A,FALSE,"Dec 1999 mapping"}</definedName>
    <definedName name="wrn.Reformat._.only." hidden="1">{#N/A,#N/A,FALSE,"Dec 1999 mapping"}</definedName>
    <definedName name="wrn.SALES._.VAR._.95._.BUDGET." localSheetId="8" hidden="1">{"PRINT",#N/A,TRUE,"APPA";"PRINT",#N/A,TRUE,"APS";"PRINT",#N/A,TRUE,"BHPL";"PRINT",#N/A,TRUE,"BHPL2";"PRINT",#N/A,TRUE,"CDWR";"PRINT",#N/A,TRUE,"EWEB";"PRINT",#N/A,TRUE,"LADWP";"PRINT",#N/A,TRUE,"NEVBASE"}</definedName>
    <definedName name="wrn.SALES._.VAR._.95._.BUDGET." hidden="1">{"PRINT",#N/A,TRUE,"APPA";"PRINT",#N/A,TRUE,"APS";"PRINT",#N/A,TRUE,"BHPL";"PRINT",#N/A,TRUE,"BHPL2";"PRINT",#N/A,TRUE,"CDWR";"PRINT",#N/A,TRUE,"EWEB";"PRINT",#N/A,TRUE,"LADWP";"PRINT",#N/A,TRUE,"NEVBASE"}</definedName>
    <definedName name="wrn.Standard." localSheetId="7" hidden="1">{"YTD-Total",#N/A,FALSE,"Provision"}</definedName>
    <definedName name="wrn.Standard." localSheetId="8" hidden="1">{"YTD-Total",#N/A,FALSE,"Provision"}</definedName>
    <definedName name="wrn.Standard." hidden="1">{"YTD-Total",#N/A,FALSE,"Provision"}</definedName>
    <definedName name="wrn.Standard._.NonUtility._.Only." localSheetId="7" hidden="1">{"YTD-NonUtility",#N/A,FALSE,"Prov NonUtility"}</definedName>
    <definedName name="wrn.Standard._.NonUtility._.Only." localSheetId="8" hidden="1">{"YTD-NonUtility",#N/A,FALSE,"Prov NonUtility"}</definedName>
    <definedName name="wrn.Standard._.NonUtility._.Only." hidden="1">{"YTD-NonUtility",#N/A,FALSE,"Prov NonUtility"}</definedName>
    <definedName name="wrn.Standard._.Utility._.Only." localSheetId="7" hidden="1">{"YTD-Utility",#N/A,FALSE,"Prov Utility"}</definedName>
    <definedName name="wrn.Standard._.Utility._.Only." localSheetId="8" hidden="1">{"YTD-Utility",#N/A,FALSE,"Prov Utility"}</definedName>
    <definedName name="wrn.Standard._.Utility._.Only." hidden="1">{"YTD-Utility",#N/A,FALSE,"Prov Utility"}</definedName>
    <definedName name="wrn.Summary._.View." localSheetId="7" hidden="1">{#N/A,#N/A,FALSE,"Consltd-For contngcy"}</definedName>
    <definedName name="wrn.Summary._.View." localSheetId="8" hidden="1">{#N/A,#N/A,FALSE,"Consltd-For contngcy"}</definedName>
    <definedName name="wrn.Summary._.View." hidden="1">{#N/A,#N/A,FALSE,"Consltd-For contngcy"}</definedName>
    <definedName name="wrn.UK._.Conversion._.Only." localSheetId="7" hidden="1">{#N/A,#N/A,FALSE,"Dec 1999 UK Continuing Ops"}</definedName>
    <definedName name="wrn.UK._.Conversion._.Only." localSheetId="8" hidden="1">{#N/A,#N/A,FALSE,"Dec 1999 UK Continuing Ops"}</definedName>
    <definedName name="wrn.UK._.Conversion._.Only." hidden="1">{#N/A,#N/A,FALSE,"Dec 1999 UK Continuing Ops"}</definedName>
    <definedName name="wrn.YearEnd." localSheetId="8" hidden="1">{"Factors Pages 1-2",#N/A,FALSE,"Variables";"Factors Page 3",#N/A,FALSE,"Variables";"Factors Page 4",#N/A,FALSE,"Variables";"Factors Page 5",#N/A,FALSE,"Variables";"YE Pages 7-26",#N/A,FALSE,"Variables"}</definedName>
    <definedName name="wrn.YearEnd." hidden="1">{"Factors Pages 1-2",#N/A,FALSE,"Variables";"Factors Page 3",#N/A,FALSE,"Variables";"Factors Page 4",#N/A,FALSE,"Variables";"Factors Page 5",#N/A,FALSE,"Variables";"YE Pages 7-26",#N/A,FALSE,"Variables"}</definedName>
    <definedName name="Z_01844156_6462_4A28_9785_1A86F4D0C834_.wvu.PrintTitles" localSheetId="7" hidden="1">#REF!</definedName>
    <definedName name="Z_01844156_6462_4A28_9785_1A86F4D0C834_.wvu.PrintTitles" localSheetId="8" hidden="1">#REF!</definedName>
    <definedName name="Z_01844156_6462_4A28_9785_1A86F4D0C834_.wvu.PrintTitles"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6" i="3" l="1"/>
  <c r="I39" i="3"/>
  <c r="I40" i="3"/>
  <c r="E95" i="3"/>
  <c r="E120" i="3"/>
  <c r="I34" i="3"/>
  <c r="F43" i="3"/>
  <c r="F49" i="3"/>
  <c r="F57" i="3"/>
  <c r="F65" i="3"/>
  <c r="F73" i="3"/>
  <c r="F81" i="3"/>
  <c r="F89" i="3"/>
  <c r="F97" i="3"/>
  <c r="F105" i="3"/>
  <c r="F114" i="3"/>
  <c r="F118" i="3"/>
  <c r="F127" i="3"/>
  <c r="F129" i="3"/>
  <c r="F130" i="3"/>
  <c r="F135" i="3"/>
  <c r="F137" i="3"/>
  <c r="F138" i="3"/>
  <c r="I11" i="3"/>
  <c r="H11" i="3"/>
  <c r="G11" i="3"/>
  <c r="F11" i="3"/>
  <c r="E11" i="3"/>
  <c r="I10" i="3"/>
  <c r="E10" i="3"/>
  <c r="I421" i="3"/>
  <c r="H421" i="3"/>
  <c r="G421" i="3"/>
  <c r="F421" i="3"/>
  <c r="E421" i="3"/>
  <c r="I420" i="3"/>
  <c r="I423" i="3" s="1"/>
  <c r="I12" i="3" s="1"/>
  <c r="G420" i="3"/>
  <c r="G423" i="3" s="1"/>
  <c r="G12" i="3" s="1"/>
  <c r="E420" i="3"/>
  <c r="E423" i="3" s="1"/>
  <c r="E12" i="3" s="1"/>
  <c r="F419" i="3"/>
  <c r="I418" i="3"/>
  <c r="F417" i="3"/>
  <c r="F416" i="3"/>
  <c r="I415" i="3"/>
  <c r="F414" i="3"/>
  <c r="H413" i="3"/>
  <c r="F412" i="3"/>
  <c r="F411" i="3"/>
  <c r="F410" i="3"/>
  <c r="F409" i="3"/>
  <c r="F408" i="3"/>
  <c r="F407" i="3"/>
  <c r="F406" i="3"/>
  <c r="F405" i="3"/>
  <c r="F404" i="3"/>
  <c r="F403" i="3"/>
  <c r="H402" i="3"/>
  <c r="H420" i="3" s="1"/>
  <c r="H423" i="3" s="1"/>
  <c r="H12" i="3" s="1"/>
  <c r="F400" i="3"/>
  <c r="F399" i="3"/>
  <c r="F398" i="3"/>
  <c r="F397" i="3"/>
  <c r="F396" i="3"/>
  <c r="F395" i="3"/>
  <c r="F394" i="3"/>
  <c r="F393" i="3"/>
  <c r="F392" i="3"/>
  <c r="I391" i="3"/>
  <c r="F390" i="3"/>
  <c r="F389" i="3"/>
  <c r="F388" i="3"/>
  <c r="F387" i="3"/>
  <c r="F386" i="3"/>
  <c r="F385" i="3"/>
  <c r="F384" i="3"/>
  <c r="F383" i="3"/>
  <c r="F382" i="3"/>
  <c r="F381" i="3"/>
  <c r="F380" i="3"/>
  <c r="F379" i="3"/>
  <c r="F378" i="3"/>
  <c r="F377" i="3"/>
  <c r="F376" i="3"/>
  <c r="F375" i="3"/>
  <c r="F374" i="3"/>
  <c r="F373" i="3"/>
  <c r="F372" i="3"/>
  <c r="F371" i="3"/>
  <c r="F370" i="3"/>
  <c r="F369" i="3"/>
  <c r="F368" i="3"/>
  <c r="F367" i="3"/>
  <c r="F366" i="3"/>
  <c r="F365" i="3"/>
  <c r="F364" i="3"/>
  <c r="F363" i="3"/>
  <c r="F362" i="3"/>
  <c r="F361" i="3"/>
  <c r="F360" i="3"/>
  <c r="F359" i="3"/>
  <c r="F358" i="3"/>
  <c r="F357" i="3"/>
  <c r="F356" i="3"/>
  <c r="F355" i="3"/>
  <c r="F354" i="3"/>
  <c r="F353" i="3"/>
  <c r="F352" i="3"/>
  <c r="F351" i="3"/>
  <c r="F350" i="3"/>
  <c r="F349" i="3"/>
  <c r="F348" i="3"/>
  <c r="F347" i="3"/>
  <c r="F346"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9" i="3"/>
  <c r="F318" i="3"/>
  <c r="F317" i="3"/>
  <c r="F316" i="3"/>
  <c r="F315" i="3"/>
  <c r="F314" i="3"/>
  <c r="F313" i="3"/>
  <c r="F312" i="3"/>
  <c r="F311" i="3"/>
  <c r="F310" i="3"/>
  <c r="F309" i="3"/>
  <c r="F308" i="3"/>
  <c r="F307" i="3"/>
  <c r="F306" i="3"/>
  <c r="F305" i="3"/>
  <c r="F304" i="3"/>
  <c r="F303" i="3"/>
  <c r="F302" i="3"/>
  <c r="F301" i="3"/>
  <c r="F300" i="3"/>
  <c r="F299" i="3"/>
  <c r="F298" i="3"/>
  <c r="F297" i="3"/>
  <c r="F296" i="3"/>
  <c r="F295" i="3"/>
  <c r="F294" i="3"/>
  <c r="I273" i="3"/>
  <c r="H273" i="3"/>
  <c r="G273" i="3"/>
  <c r="E273" i="3"/>
  <c r="E272" i="3"/>
  <c r="E275" i="3" s="1"/>
  <c r="F271" i="3"/>
  <c r="F270" i="3"/>
  <c r="F269" i="3"/>
  <c r="F268" i="3"/>
  <c r="F267" i="3"/>
  <c r="F266" i="3"/>
  <c r="F265" i="3"/>
  <c r="F264" i="3"/>
  <c r="F263" i="3"/>
  <c r="F262" i="3"/>
  <c r="F261" i="3"/>
  <c r="F260" i="3"/>
  <c r="F259" i="3"/>
  <c r="F258" i="3"/>
  <c r="F273" i="3" s="1"/>
  <c r="F257" i="3"/>
  <c r="F256" i="3"/>
  <c r="F255" i="3"/>
  <c r="F254" i="3"/>
  <c r="F253" i="3"/>
  <c r="F252" i="3"/>
  <c r="F251" i="3"/>
  <c r="F250" i="3"/>
  <c r="G249" i="3"/>
  <c r="I248" i="3"/>
  <c r="F247" i="3"/>
  <c r="F246" i="3"/>
  <c r="F245" i="3"/>
  <c r="F244" i="3"/>
  <c r="F243" i="3"/>
  <c r="F242" i="3"/>
  <c r="F241" i="3"/>
  <c r="H240" i="3"/>
  <c r="F239" i="3"/>
  <c r="F238" i="3"/>
  <c r="F237" i="3"/>
  <c r="F236" i="3"/>
  <c r="F235" i="3"/>
  <c r="F234" i="3"/>
  <c r="F233" i="3"/>
  <c r="F232" i="3"/>
  <c r="F231" i="3"/>
  <c r="F230" i="3"/>
  <c r="F229" i="3"/>
  <c r="I228" i="3"/>
  <c r="I272" i="3" s="1"/>
  <c r="I275" i="3" s="1"/>
  <c r="I227" i="3"/>
  <c r="G226" i="3"/>
  <c r="G272" i="3" s="1"/>
  <c r="G275" i="3" s="1"/>
  <c r="G10" i="3" s="1"/>
  <c r="F225" i="3"/>
  <c r="F224" i="3"/>
  <c r="F223" i="3"/>
  <c r="F222" i="3"/>
  <c r="F221" i="3"/>
  <c r="F220" i="3"/>
  <c r="H219" i="3"/>
  <c r="H272" i="3" s="1"/>
  <c r="H275" i="3" s="1"/>
  <c r="H10" i="3" s="1"/>
  <c r="F218" i="3"/>
  <c r="F217" i="3"/>
  <c r="F216" i="3"/>
  <c r="F215" i="3"/>
  <c r="F214" i="3"/>
  <c r="H195" i="3"/>
  <c r="I192" i="3"/>
  <c r="I195" i="3" s="1"/>
  <c r="H192" i="3"/>
  <c r="G192" i="3"/>
  <c r="G195" i="3" s="1"/>
  <c r="F192" i="3"/>
  <c r="F195" i="3" s="1"/>
  <c r="E192" i="3"/>
  <c r="E195" i="3" s="1"/>
  <c r="F189" i="3"/>
  <c r="I168" i="3"/>
  <c r="H168" i="3"/>
  <c r="G168" i="3"/>
  <c r="F168" i="3"/>
  <c r="E168" i="3"/>
  <c r="I167" i="3"/>
  <c r="H167" i="3"/>
  <c r="G167" i="3"/>
  <c r="E167" i="3"/>
  <c r="H166" i="3"/>
  <c r="H169" i="3" s="1"/>
  <c r="H13" i="3" s="1"/>
  <c r="F165" i="3"/>
  <c r="F164" i="3"/>
  <c r="F163" i="3"/>
  <c r="F162" i="3"/>
  <c r="F161" i="3"/>
  <c r="F160" i="3"/>
  <c r="F159" i="3"/>
  <c r="F158" i="3"/>
  <c r="I157" i="3"/>
  <c r="F156" i="3"/>
  <c r="F155" i="3"/>
  <c r="F154" i="3"/>
  <c r="F153" i="3"/>
  <c r="F152" i="3"/>
  <c r="F151" i="3"/>
  <c r="F150" i="3"/>
  <c r="F149" i="3"/>
  <c r="G148" i="3"/>
  <c r="G166" i="3" s="1"/>
  <c r="G169" i="3" s="1"/>
  <c r="G13" i="3" s="1"/>
  <c r="F147" i="3"/>
  <c r="F146" i="3"/>
  <c r="F145" i="3"/>
  <c r="F144" i="3"/>
  <c r="F143" i="3"/>
  <c r="F142" i="3"/>
  <c r="F141" i="3"/>
  <c r="F140" i="3"/>
  <c r="F139" i="3"/>
  <c r="F136" i="3"/>
  <c r="F134" i="3"/>
  <c r="F133" i="3"/>
  <c r="F132" i="3"/>
  <c r="F131" i="3"/>
  <c r="F128" i="3"/>
  <c r="F126" i="3"/>
  <c r="F125" i="3"/>
  <c r="F124" i="3"/>
  <c r="F122" i="3"/>
  <c r="F120" i="3"/>
  <c r="F117" i="3"/>
  <c r="F116" i="3"/>
  <c r="F115" i="3"/>
  <c r="F113" i="3"/>
  <c r="F112" i="3"/>
  <c r="F110" i="3"/>
  <c r="F109" i="3"/>
  <c r="F108" i="3"/>
  <c r="F107" i="3"/>
  <c r="F106" i="3"/>
  <c r="F104" i="3"/>
  <c r="F103" i="3"/>
  <c r="F102" i="3"/>
  <c r="F101" i="3"/>
  <c r="F100" i="3"/>
  <c r="F99" i="3"/>
  <c r="F98" i="3"/>
  <c r="F96" i="3"/>
  <c r="F94" i="3"/>
  <c r="F93" i="3"/>
  <c r="F92" i="3"/>
  <c r="F91" i="3"/>
  <c r="F90" i="3"/>
  <c r="F88" i="3"/>
  <c r="F87" i="3"/>
  <c r="F86" i="3"/>
  <c r="F85" i="3"/>
  <c r="F84" i="3"/>
  <c r="F83" i="3"/>
  <c r="F82" i="3"/>
  <c r="F80" i="3"/>
  <c r="F79" i="3"/>
  <c r="F78" i="3"/>
  <c r="F77" i="3"/>
  <c r="F76" i="3"/>
  <c r="F75" i="3"/>
  <c r="F74" i="3"/>
  <c r="F72" i="3"/>
  <c r="F71" i="3"/>
  <c r="F70" i="3"/>
  <c r="F69" i="3"/>
  <c r="F68" i="3"/>
  <c r="F67" i="3"/>
  <c r="F66" i="3"/>
  <c r="F64" i="3"/>
  <c r="F63" i="3"/>
  <c r="F62" i="3"/>
  <c r="F61" i="3"/>
  <c r="F60" i="3"/>
  <c r="F59" i="3"/>
  <c r="F58" i="3"/>
  <c r="F56" i="3"/>
  <c r="F55" i="3"/>
  <c r="F54" i="3"/>
  <c r="F53" i="3"/>
  <c r="F52" i="3"/>
  <c r="F51" i="3"/>
  <c r="F50" i="3"/>
  <c r="F48" i="3"/>
  <c r="F47" i="3"/>
  <c r="F46" i="3"/>
  <c r="F45" i="3"/>
  <c r="F41" i="3"/>
  <c r="I38" i="3"/>
  <c r="F37" i="3"/>
  <c r="I35" i="3"/>
  <c r="F33" i="3"/>
  <c r="F420" i="3" l="1"/>
  <c r="F423" i="3" s="1"/>
  <c r="F12" i="3" s="1"/>
  <c r="F272" i="3"/>
  <c r="F275" i="3" s="1"/>
  <c r="F10" i="3" s="1"/>
  <c r="E166" i="3"/>
  <c r="E169" i="3" s="1"/>
  <c r="E13" i="3" s="1"/>
  <c r="I166" i="3"/>
  <c r="I169" i="3" s="1"/>
  <c r="I13" i="3" s="1"/>
  <c r="F167" i="3"/>
  <c r="F95" i="3"/>
  <c r="F166" i="3" s="1"/>
  <c r="F169" i="3" s="1"/>
  <c r="F13" i="3" s="1"/>
  <c r="AC9" i="24" l="1"/>
  <c r="AC10" i="24"/>
  <c r="AE11" i="24"/>
  <c r="AC12" i="24"/>
  <c r="AC13" i="24"/>
  <c r="AD14" i="24"/>
  <c r="AC15" i="24"/>
  <c r="AC16" i="24"/>
  <c r="AD17" i="24"/>
  <c r="AC18" i="24"/>
  <c r="AE19" i="24"/>
  <c r="AC20" i="24"/>
  <c r="AC21" i="24"/>
  <c r="AD22" i="24"/>
  <c r="AC23" i="24"/>
  <c r="AC24" i="24"/>
  <c r="AC25" i="24"/>
  <c r="AC26" i="24"/>
  <c r="AE27" i="24"/>
  <c r="AC28" i="24"/>
  <c r="AC29" i="24"/>
  <c r="AD30" i="24"/>
  <c r="AC31" i="24"/>
  <c r="AC32" i="24"/>
  <c r="AC33" i="24"/>
  <c r="AC34" i="24"/>
  <c r="AE36" i="24"/>
  <c r="AC37" i="24"/>
  <c r="AC39" i="24"/>
  <c r="AD40" i="24"/>
  <c r="AC41" i="24"/>
  <c r="AC42" i="24"/>
  <c r="AC44" i="24"/>
  <c r="AC45" i="24"/>
  <c r="AC46" i="24"/>
  <c r="AF47" i="24"/>
  <c r="AC48" i="24"/>
  <c r="AC49" i="24"/>
  <c r="AD50" i="24"/>
  <c r="AC51" i="24"/>
  <c r="AC52" i="24"/>
  <c r="AC53" i="24"/>
  <c r="AC54" i="24"/>
  <c r="AC55" i="24"/>
  <c r="AF56" i="24"/>
  <c r="AC57" i="24"/>
  <c r="AC58" i="24"/>
  <c r="AE8" i="24"/>
  <c r="AE32" i="24" l="1"/>
  <c r="AC30" i="24"/>
  <c r="AD8" i="24"/>
  <c r="AD56" i="24"/>
  <c r="AD27" i="24"/>
  <c r="Y8" i="24"/>
  <c r="AF8" i="24" s="1"/>
  <c r="AF53" i="24"/>
  <c r="AE24" i="24"/>
  <c r="AD47" i="24"/>
  <c r="AC22" i="24"/>
  <c r="AF44" i="24"/>
  <c r="AD19" i="24"/>
  <c r="AC40" i="24"/>
  <c r="AE16" i="24"/>
  <c r="AD36" i="24"/>
  <c r="AC14" i="24"/>
  <c r="AD11" i="24"/>
  <c r="AF58" i="24"/>
  <c r="AC56" i="24"/>
  <c r="AD53" i="24"/>
  <c r="AF49" i="24"/>
  <c r="AC47" i="24"/>
  <c r="AD44" i="24"/>
  <c r="AF39" i="24"/>
  <c r="AC36" i="24"/>
  <c r="AD32" i="24"/>
  <c r="AE29" i="24"/>
  <c r="AC27" i="24"/>
  <c r="AD24" i="24"/>
  <c r="AE21" i="24"/>
  <c r="AC19" i="24"/>
  <c r="AD16" i="24"/>
  <c r="AE13" i="24"/>
  <c r="AC11" i="24"/>
  <c r="AC50" i="24"/>
  <c r="Y51" i="24"/>
  <c r="AE51" i="24" s="1"/>
  <c r="AD58" i="24"/>
  <c r="AF55" i="24"/>
  <c r="AD49" i="24"/>
  <c r="AF46" i="24"/>
  <c r="AD39" i="24"/>
  <c r="AE34" i="24"/>
  <c r="AD29" i="24"/>
  <c r="AE26" i="24"/>
  <c r="AD21" i="24"/>
  <c r="AE18" i="24"/>
  <c r="AD13" i="24"/>
  <c r="AE10" i="24"/>
  <c r="Y44" i="24"/>
  <c r="AE44" i="24" s="1"/>
  <c r="AD55" i="24"/>
  <c r="AF52" i="24"/>
  <c r="AD46" i="24"/>
  <c r="AF42" i="24"/>
  <c r="AD34" i="24"/>
  <c r="AE31" i="24"/>
  <c r="AD26" i="24"/>
  <c r="AE23" i="24"/>
  <c r="AD18" i="24"/>
  <c r="AE15" i="24"/>
  <c r="AD10" i="24"/>
  <c r="AF57" i="24"/>
  <c r="AD52" i="24"/>
  <c r="AF48" i="24"/>
  <c r="AD42" i="24"/>
  <c r="AE37" i="24"/>
  <c r="AD31" i="24"/>
  <c r="AE28" i="24"/>
  <c r="AD23" i="24"/>
  <c r="AE20" i="24"/>
  <c r="AD15" i="24"/>
  <c r="AE12" i="24"/>
  <c r="AD57" i="24"/>
  <c r="AE54" i="24"/>
  <c r="AD48" i="24"/>
  <c r="AF45" i="24"/>
  <c r="AD37" i="24"/>
  <c r="AE33" i="24"/>
  <c r="AD28" i="24"/>
  <c r="AE25" i="24"/>
  <c r="AD20" i="24"/>
  <c r="AF17" i="24"/>
  <c r="AD12" i="24"/>
  <c r="AE9" i="24"/>
  <c r="Y41" i="24"/>
  <c r="AE41" i="24" s="1"/>
  <c r="AD54" i="24"/>
  <c r="AF50" i="24"/>
  <c r="AD45" i="24"/>
  <c r="AF40" i="24"/>
  <c r="AD33" i="24"/>
  <c r="AE30" i="24"/>
  <c r="AD25" i="24"/>
  <c r="AE22" i="24"/>
  <c r="AE17" i="24"/>
  <c r="AE14" i="24"/>
  <c r="AD9" i="24"/>
  <c r="AF51" i="24"/>
  <c r="AF41" i="24"/>
  <c r="AD51" i="24"/>
  <c r="AD41" i="24"/>
  <c r="E31" i="27"/>
  <c r="J22" i="13" l="1"/>
  <c r="R22" i="13"/>
  <c r="I22" i="13"/>
  <c r="O22" i="13"/>
  <c r="P22" i="13"/>
  <c r="H22" i="13"/>
  <c r="N22" i="13"/>
  <c r="F22" i="13"/>
  <c r="Q22" i="13"/>
  <c r="G22" i="13"/>
  <c r="M22" i="13"/>
  <c r="E22" i="13"/>
  <c r="T22" i="13"/>
  <c r="L22" i="13"/>
  <c r="S22" i="13"/>
  <c r="K22" i="13"/>
  <c r="X10" i="34" l="1"/>
  <c r="Y10" i="34"/>
  <c r="Z10" i="34"/>
  <c r="X11" i="34"/>
  <c r="Y11" i="34"/>
  <c r="Z11" i="34"/>
  <c r="X12" i="34"/>
  <c r="Y12" i="34"/>
  <c r="Z12" i="34"/>
  <c r="X13" i="34"/>
  <c r="Y13" i="34"/>
  <c r="Z13" i="34"/>
  <c r="X14" i="34"/>
  <c r="Y14" i="34"/>
  <c r="Z14" i="34"/>
  <c r="X15" i="34"/>
  <c r="Y15" i="34"/>
  <c r="Z15" i="34"/>
  <c r="X16" i="34"/>
  <c r="Y16" i="34"/>
  <c r="Z16" i="34"/>
  <c r="X17" i="34"/>
  <c r="Y17" i="34"/>
  <c r="Z17" i="34"/>
  <c r="X18" i="34"/>
  <c r="Y18" i="34"/>
  <c r="Z18" i="34"/>
  <c r="X19" i="34"/>
  <c r="Y19" i="34"/>
  <c r="Z19" i="34"/>
  <c r="X20" i="34"/>
  <c r="Y20" i="34"/>
  <c r="Z20" i="34"/>
  <c r="X21" i="34"/>
  <c r="Y21" i="34"/>
  <c r="Z21" i="34"/>
  <c r="N9" i="34"/>
  <c r="O9" i="34"/>
  <c r="P9" i="34"/>
  <c r="Q9" i="34"/>
  <c r="R9" i="34"/>
  <c r="S9" i="34"/>
  <c r="T9" i="34"/>
  <c r="U9" i="34"/>
  <c r="V9" i="34"/>
  <c r="W9" i="34"/>
  <c r="X9" i="34"/>
  <c r="Y9" i="34"/>
  <c r="Z9" i="34"/>
  <c r="I9" i="34"/>
  <c r="J9" i="34"/>
  <c r="K9" i="34"/>
  <c r="L9" i="34"/>
  <c r="M9" i="34"/>
  <c r="G9" i="34"/>
  <c r="H9" i="34"/>
  <c r="Z7" i="34"/>
  <c r="X7" i="34"/>
  <c r="Y7" i="34"/>
  <c r="AN42" i="18" l="1"/>
  <c r="AN43" i="18" s="1"/>
  <c r="AK42" i="18"/>
  <c r="AK43" i="18" s="1"/>
  <c r="AM42" i="18"/>
  <c r="AM43" i="18" s="1"/>
  <c r="AO42" i="18"/>
  <c r="AO43" i="18" s="1"/>
  <c r="AL42" i="18"/>
  <c r="AL43" i="18" s="1"/>
  <c r="Z22" i="34"/>
  <c r="Y22" i="34"/>
  <c r="X22" i="34"/>
  <c r="AA21" i="18"/>
  <c r="N22" i="18"/>
  <c r="N23" i="18" s="1"/>
  <c r="AA17" i="18"/>
  <c r="AA20" i="18"/>
  <c r="AA12" i="18"/>
  <c r="Y22" i="18"/>
  <c r="Y23" i="18" s="1"/>
  <c r="Q22" i="18"/>
  <c r="Q23" i="18" s="1"/>
  <c r="I22" i="18"/>
  <c r="I23" i="18" s="1"/>
  <c r="U22" i="18"/>
  <c r="U23" i="18" s="1"/>
  <c r="M22" i="18"/>
  <c r="M23" i="18" s="1"/>
  <c r="Z22" i="18"/>
  <c r="Z23" i="18" s="1"/>
  <c r="V22" i="18"/>
  <c r="V23" i="18" s="1"/>
  <c r="AA16" i="18"/>
  <c r="AA19" i="18"/>
  <c r="X22" i="18"/>
  <c r="X23" i="18" s="1"/>
  <c r="P22" i="18"/>
  <c r="P23" i="18" s="1"/>
  <c r="H22" i="18"/>
  <c r="H23" i="18" s="1"/>
  <c r="T22" i="18"/>
  <c r="T23" i="18" s="1"/>
  <c r="L22" i="18"/>
  <c r="L23" i="18" s="1"/>
  <c r="R22" i="18"/>
  <c r="R23" i="18" s="1"/>
  <c r="AA15" i="18"/>
  <c r="W22" i="18"/>
  <c r="W23" i="18" s="1"/>
  <c r="O22" i="18"/>
  <c r="O23" i="18" s="1"/>
  <c r="G22" i="18"/>
  <c r="G23" i="18" s="1"/>
  <c r="S22" i="18"/>
  <c r="S23" i="18" s="1"/>
  <c r="K22" i="18"/>
  <c r="K23" i="18" s="1"/>
  <c r="AA18" i="18"/>
  <c r="AA13" i="18"/>
  <c r="J22" i="18"/>
  <c r="J23" i="18" s="1"/>
  <c r="AA14" i="18"/>
  <c r="AA11" i="18"/>
  <c r="C23" i="23" l="1"/>
  <c r="G205" i="8" l="1"/>
  <c r="E16" i="27" l="1"/>
  <c r="J8" i="29" l="1"/>
  <c r="I210" i="29" l="1"/>
  <c r="I203" i="29"/>
  <c r="J191" i="29"/>
  <c r="K191" i="29" s="1"/>
  <c r="I211" i="29" l="1"/>
  <c r="J212" i="29" s="1"/>
  <c r="I204" i="29"/>
  <c r="J205" i="29" s="1"/>
  <c r="I205" i="29"/>
  <c r="J206" i="29" s="1"/>
  <c r="I206" i="29"/>
  <c r="J207" i="29" s="1"/>
  <c r="J211" i="29"/>
  <c r="I213" i="29"/>
  <c r="I214" i="29"/>
  <c r="I207" i="29"/>
  <c r="J208" i="29" s="1"/>
  <c r="I212" i="29"/>
  <c r="J204" i="29"/>
  <c r="I208" i="29"/>
  <c r="I209" i="29"/>
  <c r="J210" i="29" l="1"/>
  <c r="J214" i="29"/>
  <c r="J213" i="29"/>
  <c r="J209" i="29"/>
  <c r="I211" i="8" l="1"/>
  <c r="H197" i="8" l="1"/>
  <c r="H190" i="8"/>
  <c r="I405" i="5" l="1"/>
  <c r="H405" i="5"/>
  <c r="G405" i="5"/>
  <c r="E405" i="5"/>
  <c r="G404" i="5"/>
  <c r="E404" i="5"/>
  <c r="E407" i="5" s="1"/>
  <c r="E12" i="5" s="1"/>
  <c r="F403" i="5"/>
  <c r="I402" i="5"/>
  <c r="F401" i="5"/>
  <c r="F400" i="5"/>
  <c r="I399" i="5"/>
  <c r="F398" i="5"/>
  <c r="H397" i="5"/>
  <c r="F396" i="5"/>
  <c r="F395" i="5"/>
  <c r="F394" i="5"/>
  <c r="F393" i="5"/>
  <c r="F392" i="5"/>
  <c r="F391" i="5"/>
  <c r="F390" i="5"/>
  <c r="F389" i="5"/>
  <c r="F388" i="5"/>
  <c r="F387" i="5"/>
  <c r="H386" i="5"/>
  <c r="F384" i="5"/>
  <c r="F383" i="5"/>
  <c r="F382" i="5"/>
  <c r="F381" i="5"/>
  <c r="F380" i="5"/>
  <c r="F379" i="5"/>
  <c r="I378" i="5"/>
  <c r="F377" i="5"/>
  <c r="F376" i="5"/>
  <c r="F375" i="5"/>
  <c r="F374" i="5"/>
  <c r="F373" i="5"/>
  <c r="F372" i="5"/>
  <c r="F405" i="5" s="1"/>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I263" i="5"/>
  <c r="H263" i="5"/>
  <c r="G263" i="5"/>
  <c r="E263" i="5"/>
  <c r="E262" i="5"/>
  <c r="E265" i="5" s="1"/>
  <c r="E10" i="5" s="1"/>
  <c r="F261" i="5"/>
  <c r="F260" i="5"/>
  <c r="F259" i="5"/>
  <c r="F258" i="5"/>
  <c r="F257" i="5"/>
  <c r="F256" i="5"/>
  <c r="F255" i="5"/>
  <c r="F254" i="5"/>
  <c r="F253" i="5"/>
  <c r="F252" i="5"/>
  <c r="F251" i="5"/>
  <c r="F250" i="5"/>
  <c r="F249" i="5"/>
  <c r="F248" i="5"/>
  <c r="F247" i="5"/>
  <c r="F246" i="5"/>
  <c r="F245" i="5"/>
  <c r="F244" i="5"/>
  <c r="F243" i="5"/>
  <c r="F242" i="5"/>
  <c r="F241" i="5"/>
  <c r="G240" i="5"/>
  <c r="I239" i="5"/>
  <c r="F238" i="5"/>
  <c r="F237" i="5"/>
  <c r="F236" i="5"/>
  <c r="F235" i="5"/>
  <c r="F234" i="5"/>
  <c r="F233" i="5"/>
  <c r="F232" i="5"/>
  <c r="H231" i="5"/>
  <c r="F230" i="5"/>
  <c r="F229" i="5"/>
  <c r="F228" i="5"/>
  <c r="F227" i="5"/>
  <c r="F226" i="5"/>
  <c r="F225" i="5"/>
  <c r="F224" i="5"/>
  <c r="F223" i="5"/>
  <c r="F222" i="5"/>
  <c r="F221" i="5"/>
  <c r="F220" i="5"/>
  <c r="I219" i="5"/>
  <c r="I218" i="5"/>
  <c r="I262" i="5" s="1"/>
  <c r="I265" i="5" s="1"/>
  <c r="I10" i="5" s="1"/>
  <c r="G217" i="5"/>
  <c r="G262" i="5" s="1"/>
  <c r="G265" i="5" s="1"/>
  <c r="G10" i="5" s="1"/>
  <c r="F216" i="5"/>
  <c r="F215" i="5"/>
  <c r="F214" i="5"/>
  <c r="F213" i="5"/>
  <c r="F212" i="5"/>
  <c r="F211" i="5"/>
  <c r="H210" i="5"/>
  <c r="H262" i="5" s="1"/>
  <c r="H265" i="5" s="1"/>
  <c r="H10" i="5" s="1"/>
  <c r="F209" i="5"/>
  <c r="F208" i="5"/>
  <c r="F207" i="5"/>
  <c r="F206" i="5"/>
  <c r="F205" i="5"/>
  <c r="F186" i="5"/>
  <c r="F11" i="5" s="1"/>
  <c r="I183" i="5"/>
  <c r="I186" i="5" s="1"/>
  <c r="I11" i="5" s="1"/>
  <c r="H183" i="5"/>
  <c r="H186" i="5" s="1"/>
  <c r="H11" i="5" s="1"/>
  <c r="G183" i="5"/>
  <c r="G186" i="5" s="1"/>
  <c r="G11" i="5" s="1"/>
  <c r="F183" i="5"/>
  <c r="E183" i="5"/>
  <c r="E186" i="5" s="1"/>
  <c r="E11" i="5" s="1"/>
  <c r="F180" i="5"/>
  <c r="H159" i="5"/>
  <c r="G159" i="5"/>
  <c r="F159" i="5"/>
  <c r="E159" i="5"/>
  <c r="I158" i="5"/>
  <c r="H158" i="5"/>
  <c r="G158" i="5"/>
  <c r="E158" i="5"/>
  <c r="H157" i="5"/>
  <c r="H160" i="5" s="1"/>
  <c r="H13" i="5" s="1"/>
  <c r="F156" i="5"/>
  <c r="F155" i="5"/>
  <c r="F154" i="5"/>
  <c r="F153" i="5"/>
  <c r="F152" i="5"/>
  <c r="F151" i="5"/>
  <c r="F150" i="5"/>
  <c r="I149" i="5"/>
  <c r="I159" i="5" s="1"/>
  <c r="F148" i="5"/>
  <c r="F147" i="5"/>
  <c r="F146" i="5"/>
  <c r="F145" i="5"/>
  <c r="F144" i="5"/>
  <c r="F143" i="5"/>
  <c r="F142" i="5"/>
  <c r="F141" i="5"/>
  <c r="G140" i="5"/>
  <c r="G157" i="5" s="1"/>
  <c r="F139" i="5"/>
  <c r="F138" i="5"/>
  <c r="F137" i="5"/>
  <c r="F136" i="5"/>
  <c r="F135" i="5"/>
  <c r="F134" i="5"/>
  <c r="F133" i="5"/>
  <c r="F132" i="5"/>
  <c r="F131" i="5"/>
  <c r="F130" i="5"/>
  <c r="F129" i="5"/>
  <c r="F128" i="5"/>
  <c r="F127" i="5"/>
  <c r="F126" i="5"/>
  <c r="F125" i="5"/>
  <c r="F124" i="5"/>
  <c r="F123" i="5"/>
  <c r="F122" i="5"/>
  <c r="F121" i="5"/>
  <c r="F120" i="5"/>
  <c r="F119" i="5"/>
  <c r="F118" i="5"/>
  <c r="F116" i="5"/>
  <c r="E114" i="5"/>
  <c r="E157" i="5" s="1"/>
  <c r="F112" i="5"/>
  <c r="F111" i="5"/>
  <c r="F110" i="5"/>
  <c r="F109" i="5"/>
  <c r="F108" i="5"/>
  <c r="F107"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3" i="5"/>
  <c r="F41" i="5"/>
  <c r="I40" i="5"/>
  <c r="I39" i="5"/>
  <c r="I38" i="5"/>
  <c r="F37" i="5"/>
  <c r="I36" i="5"/>
  <c r="I35" i="5"/>
  <c r="I34" i="5"/>
  <c r="F33" i="5"/>
  <c r="D26" i="27"/>
  <c r="I157" i="5" l="1"/>
  <c r="E160" i="5"/>
  <c r="E13" i="5" s="1"/>
  <c r="F262" i="5"/>
  <c r="F265" i="5" s="1"/>
  <c r="F10" i="5" s="1"/>
  <c r="F263" i="5"/>
  <c r="F404" i="5"/>
  <c r="F407" i="5" s="1"/>
  <c r="F12" i="5" s="1"/>
  <c r="F158" i="5"/>
  <c r="F114" i="5"/>
  <c r="F157" i="5" s="1"/>
  <c r="F160" i="5" s="1"/>
  <c r="F13" i="5" s="1"/>
  <c r="G160" i="5"/>
  <c r="G13" i="5" s="1"/>
  <c r="I404" i="5"/>
  <c r="I407" i="5" s="1"/>
  <c r="I12" i="5" s="1"/>
  <c r="H404" i="5"/>
  <c r="H407" i="5" s="1"/>
  <c r="H12" i="5" s="1"/>
  <c r="G407" i="5"/>
  <c r="G12" i="5" s="1"/>
  <c r="I160" i="5"/>
  <c r="I13" i="5" s="1"/>
  <c r="F290" i="1" l="1"/>
  <c r="A290" i="1"/>
  <c r="G98" i="6" l="1"/>
  <c r="D24" i="6" l="1"/>
  <c r="B24" i="6"/>
  <c r="AH38" i="13" l="1"/>
  <c r="AH37" i="13"/>
  <c r="AH35" i="13"/>
  <c r="AH40" i="13"/>
  <c r="AH32" i="13"/>
  <c r="AH41" i="13"/>
  <c r="AH34" i="13"/>
  <c r="AH33" i="13"/>
  <c r="AH30" i="13"/>
  <c r="AH36" i="13"/>
  <c r="AH39" i="13"/>
  <c r="AH31" i="13"/>
  <c r="N3" i="34" l="1"/>
  <c r="I191" i="29" l="1"/>
  <c r="I198" i="29"/>
  <c r="J199" i="29" s="1"/>
  <c r="I193" i="29"/>
  <c r="J194" i="29" s="1"/>
  <c r="I201" i="29"/>
  <c r="J202" i="29" s="1"/>
  <c r="I199" i="29"/>
  <c r="I192" i="29"/>
  <c r="I200" i="29"/>
  <c r="I194" i="29"/>
  <c r="I202" i="29"/>
  <c r="J203" i="29" s="1"/>
  <c r="I60" i="11" s="1"/>
  <c r="I61" i="11" s="1"/>
  <c r="I195" i="29"/>
  <c r="J196" i="29" s="1"/>
  <c r="I196" i="29"/>
  <c r="J197" i="29" s="1"/>
  <c r="I197" i="29"/>
  <c r="J192" i="29" l="1"/>
  <c r="L191" i="29"/>
  <c r="J201" i="29"/>
  <c r="J195" i="29"/>
  <c r="J198" i="29"/>
  <c r="J193" i="29"/>
  <c r="J200" i="29"/>
  <c r="AC8" i="24"/>
  <c r="Y12" i="24" l="1"/>
  <c r="AF12" i="24" s="1"/>
  <c r="Y45" i="24"/>
  <c r="AE45" i="24" s="1"/>
  <c r="Y27" i="24"/>
  <c r="AF27" i="24" s="1"/>
  <c r="Y19" i="24"/>
  <c r="AF19" i="24" s="1"/>
  <c r="Y11" i="24"/>
  <c r="AF11" i="24" s="1"/>
  <c r="Y53" i="24"/>
  <c r="AE53" i="24" s="1"/>
  <c r="Y34" i="24"/>
  <c r="AF34" i="24" s="1"/>
  <c r="Y26" i="24"/>
  <c r="AF26" i="24" s="1"/>
  <c r="Y18" i="24"/>
  <c r="AF18" i="24" s="1"/>
  <c r="Y10" i="24"/>
  <c r="AF10" i="24" s="1"/>
  <c r="Y50" i="24"/>
  <c r="AE50" i="24" s="1"/>
  <c r="Y40" i="24"/>
  <c r="AE40" i="24" s="1"/>
  <c r="Y32" i="24"/>
  <c r="AF32" i="24" s="1"/>
  <c r="Y47" i="24"/>
  <c r="AE47" i="24" s="1"/>
  <c r="Y37" i="24"/>
  <c r="AF37" i="24" s="1"/>
  <c r="Y21" i="24"/>
  <c r="AF21" i="24" s="1"/>
  <c r="Y13" i="24"/>
  <c r="AF13" i="24" s="1"/>
  <c r="Y56" i="24"/>
  <c r="AE56" i="24" s="1"/>
  <c r="Y29" i="24"/>
  <c r="AF29" i="24" s="1"/>
  <c r="Y24" i="24"/>
  <c r="AF24" i="24" s="1"/>
  <c r="Y16" i="24"/>
  <c r="AF16" i="24" s="1"/>
  <c r="Y55" i="24"/>
  <c r="AE55" i="24" s="1"/>
  <c r="Y46" i="24"/>
  <c r="AE46" i="24" s="1"/>
  <c r="Y36" i="24"/>
  <c r="AF36" i="24" s="1"/>
  <c r="Y28" i="24"/>
  <c r="AF28" i="24" s="1"/>
  <c r="Y20" i="24"/>
  <c r="AF20" i="24" s="1"/>
  <c r="Y58" i="24"/>
  <c r="AE58" i="24" s="1"/>
  <c r="Y49" i="24"/>
  <c r="AE49" i="24" s="1"/>
  <c r="Y54" i="24"/>
  <c r="AF54" i="24" s="1"/>
  <c r="Y57" i="24"/>
  <c r="AE57" i="24" s="1"/>
  <c r="Y48" i="24"/>
  <c r="AE48" i="24" s="1"/>
  <c r="Y30" i="24"/>
  <c r="AF30" i="24" s="1"/>
  <c r="Y22" i="24"/>
  <c r="AF22" i="24" s="1"/>
  <c r="Y14" i="24"/>
  <c r="AF14" i="24" s="1"/>
  <c r="Y52" i="24"/>
  <c r="AE52" i="24" s="1"/>
  <c r="Y42" i="24"/>
  <c r="AE42" i="24" s="1"/>
  <c r="Y33" i="24"/>
  <c r="AF33" i="24" s="1"/>
  <c r="Y25" i="24"/>
  <c r="AF25" i="24" s="1"/>
  <c r="Y17" i="24"/>
  <c r="AC17" i="24" s="1"/>
  <c r="Y9" i="24"/>
  <c r="AF9" i="24" s="1"/>
  <c r="Y39" i="24"/>
  <c r="AE39" i="24" s="1"/>
  <c r="Y31" i="24"/>
  <c r="AF31" i="24" s="1"/>
  <c r="Y23" i="24"/>
  <c r="AF23" i="24" s="1"/>
  <c r="Y15" i="24"/>
  <c r="AF15" i="24" s="1"/>
  <c r="Y59" i="24" l="1"/>
  <c r="G69" i="20"/>
  <c r="F69" i="20"/>
  <c r="I56" i="28" l="1"/>
  <c r="F7" i="32" l="1"/>
  <c r="AP32" i="18" l="1"/>
  <c r="AG42" i="13"/>
  <c r="AG43" i="13" s="1"/>
  <c r="AP30" i="18"/>
  <c r="AP41" i="18"/>
  <c r="W10" i="13"/>
  <c r="AP38" i="18"/>
  <c r="AP37" i="18"/>
  <c r="AP40" i="18"/>
  <c r="AP36" i="18"/>
  <c r="AP39" i="18"/>
  <c r="AP35" i="18"/>
  <c r="AP34" i="18"/>
  <c r="AP33" i="18"/>
  <c r="AP31" i="18"/>
  <c r="AA10" i="18"/>
  <c r="AP42" i="18" l="1"/>
  <c r="C15" i="22" l="1"/>
  <c r="C6" i="22"/>
  <c r="I58" i="11" l="1"/>
  <c r="I59" i="11" s="1"/>
  <c r="H30" i="34" l="1"/>
  <c r="G30" i="34"/>
  <c r="F30" i="34"/>
  <c r="E30" i="34"/>
  <c r="H29" i="34"/>
  <c r="G29" i="34"/>
  <c r="F29" i="34"/>
  <c r="E29" i="34"/>
  <c r="H28" i="34"/>
  <c r="G28" i="34"/>
  <c r="F28" i="34"/>
  <c r="E28" i="34"/>
  <c r="E8" i="34"/>
  <c r="E7" i="34"/>
  <c r="AP89" i="31" l="1"/>
  <c r="AR89" i="31" s="1"/>
  <c r="AT89" i="31" s="1"/>
  <c r="AN89" i="31"/>
  <c r="AN88" i="31"/>
  <c r="AP88" i="31" s="1"/>
  <c r="AR88" i="31" s="1"/>
  <c r="AT88" i="31" s="1"/>
  <c r="AP87" i="31"/>
  <c r="AR87" i="31" s="1"/>
  <c r="AT87" i="31" s="1"/>
  <c r="AN87" i="31"/>
  <c r="AN86" i="31"/>
  <c r="AP86" i="31" s="1"/>
  <c r="AR86" i="31" s="1"/>
  <c r="AT86" i="31" s="1"/>
  <c r="AP85" i="31"/>
  <c r="AR85" i="31" s="1"/>
  <c r="AT85" i="31" s="1"/>
  <c r="AN85" i="31"/>
  <c r="AN84" i="31"/>
  <c r="AP84" i="31" s="1"/>
  <c r="AR84" i="31" s="1"/>
  <c r="AT84" i="31" s="1"/>
  <c r="AP83" i="31"/>
  <c r="AR83" i="31" s="1"/>
  <c r="AT83" i="31" s="1"/>
  <c r="AN83" i="31"/>
  <c r="AN82" i="31"/>
  <c r="AP82" i="31" s="1"/>
  <c r="AR82" i="31" s="1"/>
  <c r="AT82" i="31" s="1"/>
  <c r="AP81" i="31"/>
  <c r="AR81" i="31" s="1"/>
  <c r="AT81" i="31" s="1"/>
  <c r="AN81" i="31"/>
  <c r="AN80" i="31"/>
  <c r="AP80" i="31" s="1"/>
  <c r="AR80" i="31" s="1"/>
  <c r="AT80" i="31" s="1"/>
  <c r="AP79" i="31"/>
  <c r="AR79" i="31" s="1"/>
  <c r="AT79" i="31" s="1"/>
  <c r="AN79" i="31"/>
  <c r="AN78" i="31"/>
  <c r="AP78" i="31" s="1"/>
  <c r="AR78" i="31" s="1"/>
  <c r="AT78" i="31" s="1"/>
  <c r="AP77" i="31"/>
  <c r="AR77" i="31" s="1"/>
  <c r="AT77" i="31" s="1"/>
  <c r="AN77" i="31"/>
  <c r="AN76" i="31"/>
  <c r="AP76" i="31" s="1"/>
  <c r="AR76" i="31" s="1"/>
  <c r="AT76" i="31" s="1"/>
  <c r="AP75" i="31"/>
  <c r="AR75" i="31" s="1"/>
  <c r="AT75" i="31" s="1"/>
  <c r="AN75" i="31"/>
  <c r="AN74" i="31"/>
  <c r="AP74" i="31" s="1"/>
  <c r="AR74" i="31" s="1"/>
  <c r="AT74" i="31" s="1"/>
  <c r="AP73" i="31"/>
  <c r="AR73" i="31" s="1"/>
  <c r="AT73" i="31" s="1"/>
  <c r="AN73" i="31"/>
  <c r="AN72" i="31"/>
  <c r="AP72" i="31" s="1"/>
  <c r="AR72" i="31" s="1"/>
  <c r="AT72" i="31" s="1"/>
  <c r="AP71" i="31"/>
  <c r="AR71" i="31" s="1"/>
  <c r="AT71" i="31" s="1"/>
  <c r="AN71" i="31"/>
  <c r="AN70" i="31"/>
  <c r="AP70" i="31" s="1"/>
  <c r="AR70" i="31" s="1"/>
  <c r="AT70" i="31" s="1"/>
  <c r="AP69" i="31"/>
  <c r="AR69" i="31" s="1"/>
  <c r="AT69" i="31" s="1"/>
  <c r="AN69" i="31"/>
  <c r="AN68" i="31"/>
  <c r="AP68" i="31" s="1"/>
  <c r="AR68" i="31" s="1"/>
  <c r="AT68" i="31" s="1"/>
  <c r="AP67" i="31"/>
  <c r="AR67" i="31" s="1"/>
  <c r="AT67" i="31" s="1"/>
  <c r="AN67" i="31"/>
  <c r="AN66" i="31"/>
  <c r="AP66" i="31" s="1"/>
  <c r="AR66" i="31" s="1"/>
  <c r="AT66" i="31" s="1"/>
  <c r="AP65" i="31"/>
  <c r="AR65" i="31" s="1"/>
  <c r="AT65" i="31" s="1"/>
  <c r="AN65" i="31"/>
  <c r="AN64" i="31"/>
  <c r="AP64" i="31" s="1"/>
  <c r="AR64" i="31" s="1"/>
  <c r="AT64" i="31" s="1"/>
  <c r="AP63" i="31"/>
  <c r="AR63" i="31" s="1"/>
  <c r="AT63" i="31" s="1"/>
  <c r="AN63" i="31"/>
  <c r="AN62" i="31"/>
  <c r="AP62" i="31" s="1"/>
  <c r="AR62" i="31" s="1"/>
  <c r="AT62" i="31" s="1"/>
  <c r="AP61" i="31"/>
  <c r="AR61" i="31" s="1"/>
  <c r="AT61" i="31" s="1"/>
  <c r="AN61" i="31"/>
  <c r="AN60" i="31"/>
  <c r="AP60" i="31" s="1"/>
  <c r="AR60" i="31" s="1"/>
  <c r="AT60" i="31" s="1"/>
  <c r="AP59" i="31"/>
  <c r="AR59" i="31" s="1"/>
  <c r="AT59" i="31" s="1"/>
  <c r="AN59" i="31"/>
  <c r="AN58" i="31"/>
  <c r="AP58" i="31" s="1"/>
  <c r="AR58" i="31" s="1"/>
  <c r="AT58" i="31" s="1"/>
  <c r="AP57" i="31"/>
  <c r="AR57" i="31" s="1"/>
  <c r="AT57" i="31" s="1"/>
  <c r="AN57" i="31"/>
  <c r="AN56" i="31"/>
  <c r="AP56" i="31" s="1"/>
  <c r="AR56" i="31" s="1"/>
  <c r="AT56" i="31" s="1"/>
  <c r="AP55" i="31"/>
  <c r="AR55" i="31" s="1"/>
  <c r="AT55" i="31" s="1"/>
  <c r="AN55" i="31"/>
  <c r="AN54" i="31"/>
  <c r="AP54" i="31" s="1"/>
  <c r="AR54" i="31" s="1"/>
  <c r="AT54" i="31" s="1"/>
  <c r="AP53" i="31"/>
  <c r="AR53" i="31" s="1"/>
  <c r="AT53" i="31" s="1"/>
  <c r="AN53" i="31"/>
  <c r="AN52" i="31"/>
  <c r="AP52" i="31" s="1"/>
  <c r="AR52" i="31" s="1"/>
  <c r="AT52" i="31" s="1"/>
  <c r="AP51" i="31"/>
  <c r="AR51" i="31" s="1"/>
  <c r="AT51" i="31" s="1"/>
  <c r="AN51" i="31"/>
  <c r="AN50" i="31"/>
  <c r="AP50" i="31" s="1"/>
  <c r="AR50" i="31" s="1"/>
  <c r="AT50" i="31" s="1"/>
  <c r="AP49" i="31"/>
  <c r="AR49" i="31" s="1"/>
  <c r="AT49" i="31" s="1"/>
  <c r="AN49" i="31"/>
  <c r="AN48" i="31"/>
  <c r="AP48" i="31" s="1"/>
  <c r="AR48" i="31" s="1"/>
  <c r="AT48" i="31" s="1"/>
  <c r="AP47" i="31"/>
  <c r="AR47" i="31" s="1"/>
  <c r="AT47" i="31" s="1"/>
  <c r="AN47" i="31"/>
  <c r="AN46" i="31"/>
  <c r="AP46" i="31" s="1"/>
  <c r="AR46" i="31" s="1"/>
  <c r="AT46" i="31" s="1"/>
  <c r="AP45" i="31"/>
  <c r="AR45" i="31" s="1"/>
  <c r="AT45" i="31" s="1"/>
  <c r="AN45" i="31"/>
  <c r="AN44" i="31"/>
  <c r="AP44" i="31" s="1"/>
  <c r="AR44" i="31" s="1"/>
  <c r="AT44" i="31" s="1"/>
  <c r="AP43" i="31"/>
  <c r="AR43" i="31" s="1"/>
  <c r="AT43" i="31" s="1"/>
  <c r="AN43" i="31"/>
  <c r="AN42" i="31"/>
  <c r="AP42" i="31" s="1"/>
  <c r="AR42" i="31" s="1"/>
  <c r="AT42" i="31" s="1"/>
  <c r="AP41" i="31"/>
  <c r="AR41" i="31" s="1"/>
  <c r="AT41" i="31" s="1"/>
  <c r="AN41" i="31"/>
  <c r="AN40" i="31"/>
  <c r="AP40" i="31" s="1"/>
  <c r="AR40" i="31" s="1"/>
  <c r="AT40" i="31" s="1"/>
  <c r="AP39" i="31"/>
  <c r="AR39" i="31" s="1"/>
  <c r="AT39" i="31" s="1"/>
  <c r="AN39" i="31"/>
  <c r="AL89" i="31"/>
  <c r="AL88" i="31"/>
  <c r="AL87" i="31"/>
  <c r="AL86" i="31"/>
  <c r="AL85" i="31"/>
  <c r="AL84" i="31"/>
  <c r="AL83" i="31"/>
  <c r="AL82" i="31"/>
  <c r="AL81" i="31"/>
  <c r="AL80" i="31"/>
  <c r="AL79" i="31"/>
  <c r="AL78" i="31"/>
  <c r="AL77" i="31"/>
  <c r="AL76" i="31"/>
  <c r="AL75" i="31"/>
  <c r="AL74" i="31"/>
  <c r="AL73" i="31"/>
  <c r="AL72" i="31"/>
  <c r="AL71" i="31"/>
  <c r="AL70" i="31"/>
  <c r="AL69" i="31"/>
  <c r="AL68" i="31"/>
  <c r="AL67" i="31"/>
  <c r="AL66" i="31"/>
  <c r="AL65" i="31"/>
  <c r="AL64" i="31"/>
  <c r="AL63" i="31"/>
  <c r="AL62" i="31"/>
  <c r="AL61" i="31"/>
  <c r="AL60" i="31"/>
  <c r="AL59" i="31"/>
  <c r="AL58" i="31"/>
  <c r="AL57" i="31"/>
  <c r="AL56" i="31"/>
  <c r="AL55" i="31"/>
  <c r="AL54" i="31"/>
  <c r="AL53" i="31"/>
  <c r="AL52" i="31"/>
  <c r="AL51" i="31"/>
  <c r="AL50" i="31"/>
  <c r="AL49" i="31"/>
  <c r="AL48" i="31"/>
  <c r="AL47" i="31"/>
  <c r="AL46" i="31"/>
  <c r="AL45" i="31"/>
  <c r="AL44" i="31"/>
  <c r="AL43" i="31"/>
  <c r="AL42" i="31"/>
  <c r="AL41" i="31"/>
  <c r="AL40" i="31"/>
  <c r="AL39" i="31"/>
  <c r="AD42" i="13" l="1"/>
  <c r="AD43" i="13" s="1"/>
  <c r="AC42" i="13"/>
  <c r="AC43" i="13" s="1"/>
  <c r="AE42" i="13"/>
  <c r="AE43" i="13" s="1"/>
  <c r="AF42" i="13"/>
  <c r="AF43" i="13" s="1"/>
  <c r="AH42" i="31" l="1"/>
  <c r="H89" i="31" l="1"/>
  <c r="AD89" i="31" s="1"/>
  <c r="H88" i="31"/>
  <c r="AD88" i="31" s="1"/>
  <c r="H87" i="31"/>
  <c r="AD87" i="31" s="1"/>
  <c r="H86" i="31"/>
  <c r="AD86" i="31" s="1"/>
  <c r="H85" i="31"/>
  <c r="AD85" i="31" s="1"/>
  <c r="H84" i="31"/>
  <c r="AD84" i="31" s="1"/>
  <c r="H83" i="31"/>
  <c r="AD83" i="31" s="1"/>
  <c r="H82" i="31"/>
  <c r="AD82" i="31" s="1"/>
  <c r="H81" i="31"/>
  <c r="AD81" i="31" s="1"/>
  <c r="H80" i="31"/>
  <c r="AD80" i="31" s="1"/>
  <c r="H79" i="31"/>
  <c r="AD79" i="31" s="1"/>
  <c r="H78" i="31"/>
  <c r="AD78" i="31" s="1"/>
  <c r="H77" i="31"/>
  <c r="AD77" i="31" s="1"/>
  <c r="H76" i="31"/>
  <c r="AD76" i="31" s="1"/>
  <c r="H75" i="31"/>
  <c r="AD75" i="31" s="1"/>
  <c r="H74" i="31"/>
  <c r="AD74" i="31" s="1"/>
  <c r="H73" i="31"/>
  <c r="AD73" i="31" s="1"/>
  <c r="H72" i="31"/>
  <c r="AD72" i="31" s="1"/>
  <c r="H71" i="31"/>
  <c r="AD71" i="31" s="1"/>
  <c r="H70" i="31"/>
  <c r="AD70" i="31" s="1"/>
  <c r="H69" i="31"/>
  <c r="AD69" i="31" s="1"/>
  <c r="H68" i="31"/>
  <c r="AD68" i="31" s="1"/>
  <c r="H67" i="31"/>
  <c r="AD67" i="31" s="1"/>
  <c r="H66" i="31"/>
  <c r="AD66" i="31" s="1"/>
  <c r="H65" i="31"/>
  <c r="AD65" i="31" s="1"/>
  <c r="H64" i="31"/>
  <c r="AD64" i="31" s="1"/>
  <c r="H63" i="31"/>
  <c r="AD63" i="31" s="1"/>
  <c r="H62" i="31"/>
  <c r="AD62" i="31" s="1"/>
  <c r="H61" i="31"/>
  <c r="AD61" i="31" s="1"/>
  <c r="H60" i="31"/>
  <c r="AD60" i="31" s="1"/>
  <c r="H59" i="31"/>
  <c r="AD59" i="31" s="1"/>
  <c r="H58" i="31"/>
  <c r="AD58" i="31" s="1"/>
  <c r="H57" i="31"/>
  <c r="AD57" i="31" s="1"/>
  <c r="T56" i="31"/>
  <c r="N56" i="31"/>
  <c r="H56" i="31"/>
  <c r="AD56" i="31" s="1"/>
  <c r="T55" i="31"/>
  <c r="N55" i="31"/>
  <c r="H55" i="31"/>
  <c r="AD55" i="31" s="1"/>
  <c r="T54" i="31"/>
  <c r="AD54" i="31" s="1"/>
  <c r="N54" i="31"/>
  <c r="H54" i="31"/>
  <c r="T53" i="31"/>
  <c r="N53" i="31"/>
  <c r="H53" i="31"/>
  <c r="AD53" i="31" s="1"/>
  <c r="T52" i="31"/>
  <c r="N52" i="31"/>
  <c r="H52" i="31"/>
  <c r="AD52" i="31" s="1"/>
  <c r="T51" i="31"/>
  <c r="N51" i="31"/>
  <c r="H51" i="31"/>
  <c r="AD51" i="31" s="1"/>
  <c r="T50" i="31"/>
  <c r="AD50" i="31" s="1"/>
  <c r="N50" i="31"/>
  <c r="H50" i="31"/>
  <c r="T49" i="31"/>
  <c r="N49" i="31"/>
  <c r="H49" i="31"/>
  <c r="AD49" i="31" s="1"/>
  <c r="T48" i="31"/>
  <c r="N48" i="31"/>
  <c r="H48" i="31"/>
  <c r="AD48" i="31" s="1"/>
  <c r="T47" i="31"/>
  <c r="N47" i="31"/>
  <c r="H47" i="31"/>
  <c r="AD47" i="31" s="1"/>
  <c r="T46" i="31"/>
  <c r="AD46" i="31" s="1"/>
  <c r="N46" i="31"/>
  <c r="H46" i="31"/>
  <c r="T45" i="31"/>
  <c r="N45" i="31"/>
  <c r="H45" i="31"/>
  <c r="AD45" i="31" s="1"/>
  <c r="T44" i="31"/>
  <c r="N44" i="31"/>
  <c r="H44" i="31"/>
  <c r="T43" i="31"/>
  <c r="N43" i="31"/>
  <c r="H43" i="31"/>
  <c r="T42" i="31"/>
  <c r="N42" i="31"/>
  <c r="H42" i="31"/>
  <c r="T41" i="31"/>
  <c r="N41" i="31"/>
  <c r="H41" i="31"/>
  <c r="V40" i="31"/>
  <c r="V41" i="31" s="1"/>
  <c r="V42" i="31" s="1"/>
  <c r="V43" i="31" s="1"/>
  <c r="V44" i="31" s="1"/>
  <c r="V45" i="31" s="1"/>
  <c r="V46" i="31" s="1"/>
  <c r="V47" i="31" s="1"/>
  <c r="V48" i="31" s="1"/>
  <c r="V49" i="31" s="1"/>
  <c r="V50" i="31" s="1"/>
  <c r="V51" i="31" s="1"/>
  <c r="V52" i="31" s="1"/>
  <c r="V53" i="31" s="1"/>
  <c r="V54" i="31" s="1"/>
  <c r="V55" i="31" s="1"/>
  <c r="V56" i="31" s="1"/>
  <c r="V57" i="31" s="1"/>
  <c r="V58" i="31" s="1"/>
  <c r="V59" i="31" s="1"/>
  <c r="V60" i="31" s="1"/>
  <c r="V61" i="31" s="1"/>
  <c r="V62" i="31" s="1"/>
  <c r="V63" i="31" s="1"/>
  <c r="V64" i="31" s="1"/>
  <c r="V65" i="31" s="1"/>
  <c r="V66" i="31" s="1"/>
  <c r="V67" i="31" s="1"/>
  <c r="V68" i="31" s="1"/>
  <c r="V69" i="31" s="1"/>
  <c r="V70" i="31" s="1"/>
  <c r="V71" i="31" s="1"/>
  <c r="V72" i="31" s="1"/>
  <c r="V73" i="31" s="1"/>
  <c r="V74" i="31" s="1"/>
  <c r="V75" i="31" s="1"/>
  <c r="V76" i="31" s="1"/>
  <c r="V77" i="31" s="1"/>
  <c r="V78" i="31" s="1"/>
  <c r="V79" i="31" s="1"/>
  <c r="V80" i="31" s="1"/>
  <c r="V81" i="31" s="1"/>
  <c r="V82" i="31" s="1"/>
  <c r="V83" i="31" s="1"/>
  <c r="V84" i="31" s="1"/>
  <c r="V85" i="31" s="1"/>
  <c r="V86" i="31" s="1"/>
  <c r="V87" i="31" s="1"/>
  <c r="V88" i="31" s="1"/>
  <c r="V89" i="31" s="1"/>
  <c r="T40" i="31"/>
  <c r="N40" i="31"/>
  <c r="H40" i="31"/>
  <c r="V39" i="31"/>
  <c r="T39" i="31"/>
  <c r="N39" i="31"/>
  <c r="P39" i="31" s="1"/>
  <c r="J39" i="31"/>
  <c r="J40" i="31" s="1"/>
  <c r="J41" i="31" s="1"/>
  <c r="J42" i="31" s="1"/>
  <c r="J43" i="31" s="1"/>
  <c r="J44" i="31" s="1"/>
  <c r="J45" i="31" s="1"/>
  <c r="J46" i="31" s="1"/>
  <c r="J47" i="31" s="1"/>
  <c r="J48" i="31" s="1"/>
  <c r="J49" i="31" s="1"/>
  <c r="J50" i="31" s="1"/>
  <c r="J51" i="31" s="1"/>
  <c r="J52" i="31" s="1"/>
  <c r="J53" i="31" s="1"/>
  <c r="J54" i="31" s="1"/>
  <c r="J55" i="31" s="1"/>
  <c r="J56" i="31" s="1"/>
  <c r="J57" i="31" s="1"/>
  <c r="J58" i="31" s="1"/>
  <c r="J59" i="31" s="1"/>
  <c r="J60" i="31" s="1"/>
  <c r="J61" i="31" s="1"/>
  <c r="J62" i="31" s="1"/>
  <c r="J63" i="31" s="1"/>
  <c r="J64" i="31" s="1"/>
  <c r="J65" i="31" s="1"/>
  <c r="J66" i="31" s="1"/>
  <c r="J67" i="31" s="1"/>
  <c r="J68" i="31" s="1"/>
  <c r="J69" i="31" s="1"/>
  <c r="J70" i="31" s="1"/>
  <c r="J71" i="31" s="1"/>
  <c r="J72" i="31" s="1"/>
  <c r="J73" i="31" s="1"/>
  <c r="J74" i="31" s="1"/>
  <c r="J75" i="31" s="1"/>
  <c r="J76" i="31" s="1"/>
  <c r="J77" i="31" s="1"/>
  <c r="J78" i="31" s="1"/>
  <c r="J79" i="31" s="1"/>
  <c r="J80" i="31" s="1"/>
  <c r="J81" i="31" s="1"/>
  <c r="J82" i="31" s="1"/>
  <c r="J83" i="31" s="1"/>
  <c r="J84" i="31" s="1"/>
  <c r="J85" i="31" s="1"/>
  <c r="J86" i="31" s="1"/>
  <c r="J87" i="31" s="1"/>
  <c r="J88" i="31" s="1"/>
  <c r="J89" i="31" s="1"/>
  <c r="H39" i="31"/>
  <c r="AH26" i="31"/>
  <c r="AF26" i="31"/>
  <c r="AD24" i="31"/>
  <c r="AF18" i="31"/>
  <c r="AD17" i="31"/>
  <c r="AF16" i="31"/>
  <c r="Z16" i="31"/>
  <c r="AD15" i="31"/>
  <c r="AD14" i="31"/>
  <c r="AH13" i="31"/>
  <c r="AH16" i="31" s="1"/>
  <c r="AF13" i="31"/>
  <c r="AB13" i="31"/>
  <c r="AB16" i="31" s="1"/>
  <c r="Z13" i="31"/>
  <c r="AD12" i="31"/>
  <c r="AD11" i="31"/>
  <c r="AD10" i="31"/>
  <c r="AD9" i="31"/>
  <c r="P40" i="31" l="1"/>
  <c r="P41" i="31" s="1"/>
  <c r="P42" i="31" s="1"/>
  <c r="P43" i="31" s="1"/>
  <c r="P44" i="31" s="1"/>
  <c r="P45" i="31" s="1"/>
  <c r="P46" i="31" s="1"/>
  <c r="P47" i="31" s="1"/>
  <c r="P48" i="31" s="1"/>
  <c r="P49" i="31" s="1"/>
  <c r="P50" i="31" s="1"/>
  <c r="P51" i="31" s="1"/>
  <c r="P52" i="31" s="1"/>
  <c r="P53" i="31" s="1"/>
  <c r="P54" i="31" s="1"/>
  <c r="P55" i="31" s="1"/>
  <c r="P56" i="31" s="1"/>
  <c r="P57" i="31" s="1"/>
  <c r="P58" i="31" s="1"/>
  <c r="P59" i="31" s="1"/>
  <c r="P60" i="31" s="1"/>
  <c r="P61" i="31" s="1"/>
  <c r="P62" i="31" s="1"/>
  <c r="P63" i="31" s="1"/>
  <c r="P64" i="31" s="1"/>
  <c r="P65" i="31" s="1"/>
  <c r="P66" i="31" s="1"/>
  <c r="P67" i="31" s="1"/>
  <c r="P68" i="31" s="1"/>
  <c r="P69" i="31" s="1"/>
  <c r="P70" i="31" s="1"/>
  <c r="P71" i="31" s="1"/>
  <c r="P72" i="31" s="1"/>
  <c r="P73" i="31" s="1"/>
  <c r="P74" i="31" s="1"/>
  <c r="P75" i="31" s="1"/>
  <c r="P76" i="31" s="1"/>
  <c r="P77" i="31" s="1"/>
  <c r="P78" i="31" s="1"/>
  <c r="P79" i="31" s="1"/>
  <c r="P80" i="31" s="1"/>
  <c r="P81" i="31" s="1"/>
  <c r="P82" i="31" s="1"/>
  <c r="P83" i="31" s="1"/>
  <c r="P84" i="31" s="1"/>
  <c r="P85" i="31" s="1"/>
  <c r="P86" i="31" s="1"/>
  <c r="P87" i="31" s="1"/>
  <c r="P88" i="31" s="1"/>
  <c r="P89" i="31" s="1"/>
  <c r="AD18" i="31"/>
  <c r="AD16" i="31"/>
  <c r="AD25" i="31" s="1"/>
  <c r="AD26" i="31" s="1"/>
  <c r="AH18" i="31"/>
  <c r="AD13" i="31"/>
  <c r="Z39" i="31"/>
  <c r="AB39" i="31" s="1"/>
  <c r="AD39" i="31" l="1"/>
  <c r="Z40" i="31"/>
  <c r="AD40" i="31" s="1"/>
  <c r="Z42" i="31"/>
  <c r="AD42" i="31" s="1"/>
  <c r="Z43" i="31"/>
  <c r="AD43" i="31" s="1"/>
  <c r="AB40" i="31"/>
  <c r="Z44" i="31"/>
  <c r="AD44" i="31" s="1"/>
  <c r="Z41" i="31"/>
  <c r="AD41" i="31" s="1"/>
  <c r="AF39" i="31"/>
  <c r="AF40" i="31" s="1"/>
  <c r="AF41" i="31" l="1"/>
  <c r="AB41" i="31"/>
  <c r="AB42" i="31" s="1"/>
  <c r="AB43" i="31" s="1"/>
  <c r="AB44" i="31" s="1"/>
  <c r="AB45" i="31" s="1"/>
  <c r="AB46" i="31" s="1"/>
  <c r="AB47" i="31" s="1"/>
  <c r="AB48" i="31" s="1"/>
  <c r="AB49" i="31" s="1"/>
  <c r="AB50" i="31" s="1"/>
  <c r="AB51" i="31" s="1"/>
  <c r="AB52" i="31" s="1"/>
  <c r="AB53" i="31" s="1"/>
  <c r="AB54" i="31" s="1"/>
  <c r="AB55" i="31" s="1"/>
  <c r="AB56" i="31" s="1"/>
  <c r="AB57" i="31" s="1"/>
  <c r="AB58" i="31" s="1"/>
  <c r="AB59" i="31" s="1"/>
  <c r="AB60" i="31" s="1"/>
  <c r="AB61" i="31" s="1"/>
  <c r="AB62" i="31" s="1"/>
  <c r="AB63" i="31" s="1"/>
  <c r="AB64" i="31" s="1"/>
  <c r="AB65" i="31" s="1"/>
  <c r="AB66" i="31" s="1"/>
  <c r="AB67" i="31" s="1"/>
  <c r="AB68" i="31" s="1"/>
  <c r="AB69" i="31" s="1"/>
  <c r="AB70" i="31" s="1"/>
  <c r="AB71" i="31" s="1"/>
  <c r="AB72" i="31" s="1"/>
  <c r="AB73" i="31" s="1"/>
  <c r="AB74" i="31" s="1"/>
  <c r="AB75" i="31" s="1"/>
  <c r="AB76" i="31" s="1"/>
  <c r="AB77" i="31" s="1"/>
  <c r="AB78" i="31" s="1"/>
  <c r="AB79" i="31" s="1"/>
  <c r="AB80" i="31" s="1"/>
  <c r="AB81" i="31" s="1"/>
  <c r="AB82" i="31" s="1"/>
  <c r="AB83" i="31" s="1"/>
  <c r="AB84" i="31" s="1"/>
  <c r="AB85" i="31" s="1"/>
  <c r="AB86" i="31" s="1"/>
  <c r="AB87" i="31" s="1"/>
  <c r="AB88" i="31" s="1"/>
  <c r="AB89" i="31" s="1"/>
  <c r="AH40" i="31"/>
  <c r="AF42" i="31" l="1"/>
  <c r="AH41" i="31"/>
  <c r="AF43" i="31" l="1"/>
  <c r="AF44" i="31" l="1"/>
  <c r="AH43" i="31"/>
  <c r="AF45" i="31" l="1"/>
  <c r="AH44" i="31"/>
  <c r="AF46" i="31" l="1"/>
  <c r="AH45" i="31"/>
  <c r="AF47" i="31" l="1"/>
  <c r="AH46" i="31"/>
  <c r="AF48" i="31" l="1"/>
  <c r="AH47" i="31"/>
  <c r="AF49" i="31" l="1"/>
  <c r="AH48" i="31"/>
  <c r="AF50" i="31" l="1"/>
  <c r="AH49" i="31"/>
  <c r="AF51" i="31" l="1"/>
  <c r="AH50" i="31"/>
  <c r="AH52" i="31" l="1"/>
  <c r="AF52" i="31"/>
  <c r="AH51" i="31"/>
  <c r="AF53" i="31" l="1"/>
  <c r="AH53" i="31"/>
  <c r="AF54" i="31" l="1"/>
  <c r="AF55" i="31" l="1"/>
  <c r="AH54" i="31"/>
  <c r="AF56" i="31" l="1"/>
  <c r="AH55" i="31"/>
  <c r="AF57" i="31" l="1"/>
  <c r="AH56" i="31"/>
  <c r="AF58" i="31" l="1"/>
  <c r="AH57" i="31"/>
  <c r="AF59" i="31" l="1"/>
  <c r="AH58" i="31"/>
  <c r="AF60" i="31" l="1"/>
  <c r="AH59" i="31"/>
  <c r="AF61" i="31" l="1"/>
  <c r="AH60" i="31"/>
  <c r="AF62" i="31" l="1"/>
  <c r="AH61" i="31"/>
  <c r="AF63" i="31" l="1"/>
  <c r="AH62" i="31"/>
  <c r="AF64" i="31" l="1"/>
  <c r="AH63" i="31"/>
  <c r="AF65" i="31" l="1"/>
  <c r="AH64" i="31"/>
  <c r="AF66" i="31" l="1"/>
  <c r="AH65" i="31"/>
  <c r="AF67" i="31" l="1"/>
  <c r="AH66" i="31"/>
  <c r="AF68" i="31" l="1"/>
  <c r="AH67" i="31"/>
  <c r="AF69" i="31" l="1"/>
  <c r="AH68" i="31"/>
  <c r="AF70" i="31" l="1"/>
  <c r="AH69" i="31"/>
  <c r="AF71" i="31" l="1"/>
  <c r="AH70" i="31"/>
  <c r="AF72" i="31" l="1"/>
  <c r="AH71" i="31"/>
  <c r="AF73" i="31" l="1"/>
  <c r="AH72" i="31"/>
  <c r="AF74" i="31" l="1"/>
  <c r="AH73" i="31"/>
  <c r="AF75" i="31" l="1"/>
  <c r="AH74" i="31"/>
  <c r="AF76" i="31" l="1"/>
  <c r="AH75" i="31"/>
  <c r="AF77" i="31" l="1"/>
  <c r="AH76" i="31"/>
  <c r="AF78" i="31" l="1"/>
  <c r="AH77" i="31"/>
  <c r="AF79" i="31" l="1"/>
  <c r="AH78" i="31"/>
  <c r="AF80" i="31" l="1"/>
  <c r="AH79" i="31"/>
  <c r="AF81" i="31" l="1"/>
  <c r="AH80" i="31"/>
  <c r="AF82" i="31" l="1"/>
  <c r="AH81" i="31"/>
  <c r="AF83" i="31" l="1"/>
  <c r="AH82" i="31"/>
  <c r="AF84" i="31" l="1"/>
  <c r="AH83" i="31"/>
  <c r="AF85" i="31" l="1"/>
  <c r="AH84" i="31"/>
  <c r="AF86" i="31" l="1"/>
  <c r="AH85" i="31"/>
  <c r="AH87" i="31" l="1"/>
  <c r="AF87" i="31"/>
  <c r="AH86" i="31"/>
  <c r="AF88" i="31" l="1"/>
  <c r="AF89" i="31" l="1"/>
  <c r="AH89" i="31" s="1"/>
  <c r="AH88" i="31"/>
  <c r="AG42" i="18" l="1"/>
  <c r="AG43" i="18" s="1"/>
  <c r="AI42" i="18"/>
  <c r="AI43" i="18" s="1"/>
  <c r="E32" i="34"/>
  <c r="F32" i="34"/>
  <c r="G32" i="34"/>
  <c r="H32" i="34"/>
  <c r="E33" i="34"/>
  <c r="F33" i="34"/>
  <c r="G33" i="34"/>
  <c r="H33" i="34"/>
  <c r="E34" i="34"/>
  <c r="F34" i="34"/>
  <c r="G34" i="34"/>
  <c r="H34" i="34"/>
  <c r="E35" i="34"/>
  <c r="F35" i="34"/>
  <c r="G35" i="34"/>
  <c r="H35" i="34"/>
  <c r="E36" i="34"/>
  <c r="F36" i="34"/>
  <c r="G36" i="34"/>
  <c r="H36" i="34"/>
  <c r="E37" i="34"/>
  <c r="F37" i="34"/>
  <c r="G37" i="34"/>
  <c r="H37" i="34"/>
  <c r="E38" i="34"/>
  <c r="F38" i="34"/>
  <c r="G38" i="34"/>
  <c r="H38" i="34"/>
  <c r="E39" i="34"/>
  <c r="F39" i="34"/>
  <c r="G39" i="34"/>
  <c r="H39" i="34"/>
  <c r="E40" i="34"/>
  <c r="F40" i="34"/>
  <c r="G40" i="34"/>
  <c r="H40" i="34"/>
  <c r="E41" i="34"/>
  <c r="F41" i="34"/>
  <c r="G41" i="34"/>
  <c r="H41" i="34"/>
  <c r="E42" i="34"/>
  <c r="F42" i="34"/>
  <c r="G42" i="34"/>
  <c r="H42" i="34"/>
  <c r="F31" i="34"/>
  <c r="G31" i="34"/>
  <c r="H31" i="34"/>
  <c r="E31" i="34"/>
  <c r="C11" i="34"/>
  <c r="C32" i="34" s="1"/>
  <c r="D11" i="34"/>
  <c r="D32" i="34" s="1"/>
  <c r="E11" i="34"/>
  <c r="F11" i="34"/>
  <c r="G11" i="34"/>
  <c r="H11" i="34"/>
  <c r="I11" i="34"/>
  <c r="J11" i="34"/>
  <c r="K11" i="34"/>
  <c r="L11" i="34"/>
  <c r="M11" i="34"/>
  <c r="N11" i="34"/>
  <c r="O11" i="34"/>
  <c r="P11" i="34"/>
  <c r="Q11" i="34"/>
  <c r="R11" i="34"/>
  <c r="S11" i="34"/>
  <c r="T11" i="34"/>
  <c r="U11" i="34"/>
  <c r="V11" i="34"/>
  <c r="W11" i="34"/>
  <c r="C12" i="34"/>
  <c r="C33" i="34" s="1"/>
  <c r="D12" i="34"/>
  <c r="D33" i="34" s="1"/>
  <c r="E12" i="34"/>
  <c r="F12" i="34"/>
  <c r="G12" i="34"/>
  <c r="H12" i="34"/>
  <c r="I12" i="34"/>
  <c r="J12" i="34"/>
  <c r="K12" i="34"/>
  <c r="L12" i="34"/>
  <c r="M12" i="34"/>
  <c r="N12" i="34"/>
  <c r="O12" i="34"/>
  <c r="P12" i="34"/>
  <c r="Q12" i="34"/>
  <c r="R12" i="34"/>
  <c r="S12" i="34"/>
  <c r="T12" i="34"/>
  <c r="U12" i="34"/>
  <c r="V12" i="34"/>
  <c r="W12" i="34"/>
  <c r="C13" i="34"/>
  <c r="C34" i="34" s="1"/>
  <c r="D13" i="34"/>
  <c r="D34" i="34" s="1"/>
  <c r="E13" i="34"/>
  <c r="F13" i="34"/>
  <c r="G13" i="34"/>
  <c r="H13" i="34"/>
  <c r="I13" i="34"/>
  <c r="J13" i="34"/>
  <c r="K13" i="34"/>
  <c r="L13" i="34"/>
  <c r="M13" i="34"/>
  <c r="N13" i="34"/>
  <c r="O13" i="34"/>
  <c r="P13" i="34"/>
  <c r="Q13" i="34"/>
  <c r="R13" i="34"/>
  <c r="S13" i="34"/>
  <c r="T13" i="34"/>
  <c r="U13" i="34"/>
  <c r="V13" i="34"/>
  <c r="W13" i="34"/>
  <c r="C14" i="34"/>
  <c r="C35" i="34" s="1"/>
  <c r="D14" i="34"/>
  <c r="D35" i="34" s="1"/>
  <c r="E14" i="34"/>
  <c r="F14" i="34"/>
  <c r="G14" i="34"/>
  <c r="H14" i="34"/>
  <c r="I14" i="34"/>
  <c r="J14" i="34"/>
  <c r="K14" i="34"/>
  <c r="L14" i="34"/>
  <c r="M14" i="34"/>
  <c r="N14" i="34"/>
  <c r="O14" i="34"/>
  <c r="P14" i="34"/>
  <c r="Q14" i="34"/>
  <c r="R14" i="34"/>
  <c r="S14" i="34"/>
  <c r="T14" i="34"/>
  <c r="U14" i="34"/>
  <c r="V14" i="34"/>
  <c r="W14" i="34"/>
  <c r="C15" i="34"/>
  <c r="C36" i="34" s="1"/>
  <c r="D15" i="34"/>
  <c r="D36" i="34" s="1"/>
  <c r="E15" i="34"/>
  <c r="F15" i="34"/>
  <c r="G15" i="34"/>
  <c r="H15" i="34"/>
  <c r="I15" i="34"/>
  <c r="J15" i="34"/>
  <c r="K15" i="34"/>
  <c r="L15" i="34"/>
  <c r="M15" i="34"/>
  <c r="N15" i="34"/>
  <c r="O15" i="34"/>
  <c r="P15" i="34"/>
  <c r="Q15" i="34"/>
  <c r="R15" i="34"/>
  <c r="S15" i="34"/>
  <c r="T15" i="34"/>
  <c r="U15" i="34"/>
  <c r="V15" i="34"/>
  <c r="W15" i="34"/>
  <c r="C16" i="34"/>
  <c r="C37" i="34" s="1"/>
  <c r="D16" i="34"/>
  <c r="D37" i="34" s="1"/>
  <c r="E16" i="34"/>
  <c r="F16" i="34"/>
  <c r="G16" i="34"/>
  <c r="H16" i="34"/>
  <c r="I16" i="34"/>
  <c r="J16" i="34"/>
  <c r="K16" i="34"/>
  <c r="L16" i="34"/>
  <c r="M16" i="34"/>
  <c r="N16" i="34"/>
  <c r="O16" i="34"/>
  <c r="P16" i="34"/>
  <c r="Q16" i="34"/>
  <c r="R16" i="34"/>
  <c r="S16" i="34"/>
  <c r="T16" i="34"/>
  <c r="U16" i="34"/>
  <c r="V16" i="34"/>
  <c r="W16" i="34"/>
  <c r="C17" i="34"/>
  <c r="C38" i="34" s="1"/>
  <c r="D17" i="34"/>
  <c r="D38" i="34" s="1"/>
  <c r="E17" i="34"/>
  <c r="F17" i="34"/>
  <c r="G17" i="34"/>
  <c r="H17" i="34"/>
  <c r="I17" i="34"/>
  <c r="J17" i="34"/>
  <c r="K17" i="34"/>
  <c r="L17" i="34"/>
  <c r="M17" i="34"/>
  <c r="N17" i="34"/>
  <c r="O17" i="34"/>
  <c r="P17" i="34"/>
  <c r="Q17" i="34"/>
  <c r="R17" i="34"/>
  <c r="S17" i="34"/>
  <c r="T17" i="34"/>
  <c r="U17" i="34"/>
  <c r="V17" i="34"/>
  <c r="W17" i="34"/>
  <c r="C18" i="34"/>
  <c r="C39" i="34" s="1"/>
  <c r="D18" i="34"/>
  <c r="D39" i="34" s="1"/>
  <c r="E18" i="34"/>
  <c r="F18" i="34"/>
  <c r="G18" i="34"/>
  <c r="H18" i="34"/>
  <c r="I18" i="34"/>
  <c r="J18" i="34"/>
  <c r="K18" i="34"/>
  <c r="L18" i="34"/>
  <c r="M18" i="34"/>
  <c r="N18" i="34"/>
  <c r="O18" i="34"/>
  <c r="P18" i="34"/>
  <c r="Q18" i="34"/>
  <c r="R18" i="34"/>
  <c r="S18" i="34"/>
  <c r="T18" i="34"/>
  <c r="U18" i="34"/>
  <c r="V18" i="34"/>
  <c r="W18" i="34"/>
  <c r="C19" i="34"/>
  <c r="C40" i="34" s="1"/>
  <c r="D19" i="34"/>
  <c r="D40" i="34" s="1"/>
  <c r="E19" i="34"/>
  <c r="F19" i="34"/>
  <c r="G19" i="34"/>
  <c r="H19" i="34"/>
  <c r="I19" i="34"/>
  <c r="J19" i="34"/>
  <c r="K19" i="34"/>
  <c r="L19" i="34"/>
  <c r="M19" i="34"/>
  <c r="N19" i="34"/>
  <c r="O19" i="34"/>
  <c r="P19" i="34"/>
  <c r="Q19" i="34"/>
  <c r="R19" i="34"/>
  <c r="S19" i="34"/>
  <c r="T19" i="34"/>
  <c r="U19" i="34"/>
  <c r="V19" i="34"/>
  <c r="W19" i="34"/>
  <c r="C20" i="34"/>
  <c r="C41" i="34" s="1"/>
  <c r="D20" i="34"/>
  <c r="D41" i="34" s="1"/>
  <c r="E20" i="34"/>
  <c r="F20" i="34"/>
  <c r="G20" i="34"/>
  <c r="H20" i="34"/>
  <c r="I20" i="34"/>
  <c r="J20" i="34"/>
  <c r="K20" i="34"/>
  <c r="L20" i="34"/>
  <c r="M20" i="34"/>
  <c r="N20" i="34"/>
  <c r="O20" i="34"/>
  <c r="P20" i="34"/>
  <c r="Q20" i="34"/>
  <c r="R20" i="34"/>
  <c r="S20" i="34"/>
  <c r="T20" i="34"/>
  <c r="U20" i="34"/>
  <c r="V20" i="34"/>
  <c r="W20" i="34"/>
  <c r="C21" i="34"/>
  <c r="C42" i="34" s="1"/>
  <c r="D21" i="34"/>
  <c r="D42" i="34" s="1"/>
  <c r="E21" i="34"/>
  <c r="F21" i="34"/>
  <c r="G21" i="34"/>
  <c r="H21" i="34"/>
  <c r="I21" i="34"/>
  <c r="J21" i="34"/>
  <c r="K21" i="34"/>
  <c r="L21" i="34"/>
  <c r="M21" i="34"/>
  <c r="N21" i="34"/>
  <c r="O21" i="34"/>
  <c r="P21" i="34"/>
  <c r="Q21" i="34"/>
  <c r="R21" i="34"/>
  <c r="S21" i="34"/>
  <c r="T21" i="34"/>
  <c r="U21" i="34"/>
  <c r="V21" i="34"/>
  <c r="W21" i="34"/>
  <c r="D10" i="34"/>
  <c r="D31" i="34" s="1"/>
  <c r="E10" i="34"/>
  <c r="F10" i="34"/>
  <c r="G10" i="34"/>
  <c r="H10" i="34"/>
  <c r="I10" i="34"/>
  <c r="J10" i="34"/>
  <c r="K10" i="34"/>
  <c r="L10" i="34"/>
  <c r="M10" i="34"/>
  <c r="N10" i="34"/>
  <c r="O10" i="34"/>
  <c r="P10" i="34"/>
  <c r="Q10" i="34"/>
  <c r="R10" i="34"/>
  <c r="S10" i="34"/>
  <c r="T10" i="34"/>
  <c r="U10" i="34"/>
  <c r="V10" i="34"/>
  <c r="W10" i="34"/>
  <c r="C10" i="34"/>
  <c r="C31" i="34" s="1"/>
  <c r="F9" i="34"/>
  <c r="G7" i="34"/>
  <c r="H7" i="34"/>
  <c r="I7" i="34"/>
  <c r="J7" i="34"/>
  <c r="K7" i="34"/>
  <c r="L7" i="34"/>
  <c r="M7" i="34"/>
  <c r="N7" i="34"/>
  <c r="O7" i="34"/>
  <c r="P7" i="34"/>
  <c r="Q7" i="34"/>
  <c r="R7" i="34"/>
  <c r="S7" i="34"/>
  <c r="T7" i="34"/>
  <c r="U7" i="34"/>
  <c r="V7" i="34"/>
  <c r="W7" i="34"/>
  <c r="F7" i="34"/>
  <c r="J22" i="34" l="1"/>
  <c r="R22" i="34"/>
  <c r="AA19" i="34"/>
  <c r="G43" i="34"/>
  <c r="J33" i="34"/>
  <c r="AA11" i="34"/>
  <c r="Q22" i="34"/>
  <c r="I22" i="34"/>
  <c r="AA20" i="34"/>
  <c r="AA12" i="34"/>
  <c r="J42" i="34"/>
  <c r="J34" i="34"/>
  <c r="P22" i="34"/>
  <c r="H22" i="34"/>
  <c r="AA21" i="34"/>
  <c r="AA13" i="34"/>
  <c r="AA14" i="34"/>
  <c r="J40" i="34"/>
  <c r="J38" i="34"/>
  <c r="J36" i="34"/>
  <c r="J32" i="34"/>
  <c r="O22" i="34"/>
  <c r="V22" i="34"/>
  <c r="N22" i="34"/>
  <c r="F22" i="34"/>
  <c r="AA10" i="34"/>
  <c r="AA15" i="34"/>
  <c r="J31" i="34"/>
  <c r="E43" i="34"/>
  <c r="J35" i="34"/>
  <c r="U22" i="34"/>
  <c r="M22" i="34"/>
  <c r="E22" i="34"/>
  <c r="AA16" i="34"/>
  <c r="H43" i="34"/>
  <c r="W22" i="34"/>
  <c r="T22" i="34"/>
  <c r="L22" i="34"/>
  <c r="AA17" i="34"/>
  <c r="J41" i="34"/>
  <c r="G22" i="34"/>
  <c r="S22" i="34"/>
  <c r="K22" i="34"/>
  <c r="AA18" i="34"/>
  <c r="F43" i="34"/>
  <c r="J39" i="34"/>
  <c r="J37" i="34"/>
  <c r="AH42" i="18"/>
  <c r="AH43" i="18" s="1"/>
  <c r="AF42" i="18"/>
  <c r="AF43" i="18" s="1"/>
  <c r="F22" i="18"/>
  <c r="E22" i="18"/>
  <c r="J43" i="34" l="1"/>
  <c r="AA22" i="34"/>
  <c r="J32" i="15"/>
  <c r="J33" i="15"/>
  <c r="J34" i="15"/>
  <c r="J35" i="15"/>
  <c r="J36" i="15"/>
  <c r="J37" i="15"/>
  <c r="J38" i="15"/>
  <c r="J39" i="15"/>
  <c r="J40" i="15"/>
  <c r="J41" i="15"/>
  <c r="J42" i="15"/>
  <c r="J31" i="15"/>
  <c r="F43" i="15"/>
  <c r="G43" i="15"/>
  <c r="H43" i="15"/>
  <c r="E43" i="15"/>
  <c r="C32" i="15"/>
  <c r="D32" i="15"/>
  <c r="C33" i="15"/>
  <c r="D33" i="15"/>
  <c r="C34" i="15"/>
  <c r="D34" i="15"/>
  <c r="C35" i="15"/>
  <c r="D35" i="15"/>
  <c r="C36" i="15"/>
  <c r="D36" i="15"/>
  <c r="C37" i="15"/>
  <c r="D37" i="15"/>
  <c r="C38" i="15"/>
  <c r="D38" i="15"/>
  <c r="C39" i="15"/>
  <c r="D39" i="15"/>
  <c r="C40" i="15"/>
  <c r="D40" i="15"/>
  <c r="C41" i="15"/>
  <c r="D41" i="15"/>
  <c r="C42" i="15"/>
  <c r="D42" i="15"/>
  <c r="D31" i="15"/>
  <c r="C31" i="15"/>
  <c r="Z11" i="15"/>
  <c r="Z12" i="15"/>
  <c r="Z13" i="15"/>
  <c r="Z14" i="15"/>
  <c r="Z15" i="15"/>
  <c r="Z16" i="15"/>
  <c r="Z17" i="15"/>
  <c r="Z18" i="15"/>
  <c r="Z19" i="15"/>
  <c r="Z20" i="15"/>
  <c r="Z21" i="15"/>
  <c r="Z10" i="15"/>
  <c r="H22" i="15"/>
  <c r="I22" i="15"/>
  <c r="J22" i="15"/>
  <c r="K22" i="15"/>
  <c r="L22" i="15"/>
  <c r="M22" i="15"/>
  <c r="N22" i="15"/>
  <c r="O22" i="15"/>
  <c r="P22" i="15"/>
  <c r="Q22" i="15"/>
  <c r="R22" i="15"/>
  <c r="S22" i="15"/>
  <c r="T22" i="15"/>
  <c r="U22" i="15"/>
  <c r="V22" i="15"/>
  <c r="W22" i="15"/>
  <c r="X22" i="15"/>
  <c r="G22" i="15"/>
  <c r="F22" i="15"/>
  <c r="E22" i="15"/>
  <c r="J43" i="15" l="1"/>
  <c r="Z22" i="15"/>
  <c r="C16" i="22" l="1"/>
  <c r="C29" i="22"/>
  <c r="C21" i="22"/>
  <c r="C13" i="22"/>
  <c r="C26" i="22"/>
  <c r="C18" i="22"/>
  <c r="C23" i="22"/>
  <c r="C10" i="22"/>
  <c r="C12" i="22"/>
  <c r="C28" i="22"/>
  <c r="C9" i="22"/>
  <c r="C20" i="22"/>
  <c r="C25" i="22"/>
  <c r="C14" i="22"/>
  <c r="C17" i="22"/>
  <c r="C22" i="22"/>
  <c r="C30" i="22"/>
  <c r="C7" i="22"/>
  <c r="C11" i="22"/>
  <c r="C8" i="22"/>
  <c r="C19" i="22"/>
  <c r="C24" i="22"/>
  <c r="C27" i="22"/>
  <c r="I56" i="11" l="1"/>
  <c r="I57" i="11" s="1"/>
  <c r="AH42" i="13" l="1"/>
  <c r="AH43" i="13" s="1"/>
  <c r="AE42" i="18" l="1"/>
  <c r="AE43" i="18" s="1"/>
  <c r="AJ42" i="18"/>
  <c r="AJ43" i="18" s="1"/>
  <c r="X22" i="14"/>
  <c r="I54" i="11" l="1"/>
  <c r="W59" i="24" l="1"/>
  <c r="O59" i="24"/>
  <c r="S59" i="24"/>
  <c r="V59" i="24"/>
  <c r="R59" i="24"/>
  <c r="N59" i="24"/>
  <c r="U59" i="24"/>
  <c r="Q59" i="24"/>
  <c r="M59" i="24"/>
  <c r="K59" i="24"/>
  <c r="T59" i="24"/>
  <c r="P59" i="24"/>
  <c r="L59" i="24"/>
  <c r="S28" i="9" l="1"/>
  <c r="Q28" i="9"/>
  <c r="AA42" i="13" l="1"/>
  <c r="AA43" i="13" s="1"/>
  <c r="D7" i="32" l="1"/>
  <c r="V22" i="13" l="1"/>
  <c r="V23" i="13" s="1"/>
  <c r="W22" i="14" l="1"/>
  <c r="AB42" i="18" l="1"/>
  <c r="AB43" i="18" s="1"/>
  <c r="X42" i="18"/>
  <c r="X43" i="18" s="1"/>
  <c r="T42" i="18"/>
  <c r="T43" i="18" s="1"/>
  <c r="P42" i="18"/>
  <c r="P43" i="18" s="1"/>
  <c r="L42" i="18"/>
  <c r="L43" i="18" s="1"/>
  <c r="H42" i="18"/>
  <c r="H43" i="18" s="1"/>
  <c r="S42" i="18"/>
  <c r="S43" i="18" s="1"/>
  <c r="G42" i="18"/>
  <c r="G43" i="18" s="1"/>
  <c r="W42" i="18"/>
  <c r="W43" i="18" s="1"/>
  <c r="O42" i="18"/>
  <c r="O43" i="18" s="1"/>
  <c r="K42" i="18"/>
  <c r="K43" i="18" s="1"/>
  <c r="AD42" i="18"/>
  <c r="AD43" i="18" s="1"/>
  <c r="Z42" i="18"/>
  <c r="Z43" i="18" s="1"/>
  <c r="V42" i="18"/>
  <c r="V43" i="18" s="1"/>
  <c r="R42" i="18"/>
  <c r="R43" i="18" s="1"/>
  <c r="N42" i="18"/>
  <c r="N43" i="18" s="1"/>
  <c r="J42" i="18"/>
  <c r="J43" i="18" s="1"/>
  <c r="F42" i="18"/>
  <c r="F43" i="18" s="1"/>
  <c r="AA42" i="18"/>
  <c r="AA43" i="18" s="1"/>
  <c r="AC42" i="18"/>
  <c r="AC43" i="18" s="1"/>
  <c r="Y42" i="18"/>
  <c r="Y43" i="18" s="1"/>
  <c r="U42" i="18"/>
  <c r="U43" i="18" s="1"/>
  <c r="Q42" i="18"/>
  <c r="Q43" i="18" s="1"/>
  <c r="M42" i="18"/>
  <c r="M43" i="18" s="1"/>
  <c r="I42" i="18"/>
  <c r="I43" i="18" s="1"/>
  <c r="AL42" i="13" l="1"/>
  <c r="AL43" i="13" s="1"/>
  <c r="AB42" i="13"/>
  <c r="AB43" i="13" s="1"/>
  <c r="AH10" i="18" l="1"/>
  <c r="AR30" i="18" s="1"/>
  <c r="AH18" i="18"/>
  <c r="AH14" i="18"/>
  <c r="AH21" i="18"/>
  <c r="AH20" i="18"/>
  <c r="AH19" i="18"/>
  <c r="AH17" i="18"/>
  <c r="AH16" i="18"/>
  <c r="AH15" i="18"/>
  <c r="AH13" i="18"/>
  <c r="AH12" i="18"/>
  <c r="AH11" i="18"/>
  <c r="F20" i="32" l="1"/>
  <c r="H238" i="1" s="1"/>
  <c r="K238" i="1" l="1"/>
  <c r="L238" i="1" s="1"/>
  <c r="O238" i="1"/>
  <c r="P238" i="1" s="1"/>
  <c r="D20" i="32" l="1"/>
  <c r="H70" i="1" s="1"/>
  <c r="O70" i="1" l="1"/>
  <c r="P70" i="1" s="1"/>
  <c r="K70" i="1"/>
  <c r="L70" i="1" s="1"/>
  <c r="G86" i="6" l="1"/>
  <c r="AC59" i="24" l="1"/>
  <c r="AE59" i="24" l="1"/>
  <c r="AD59" i="24"/>
  <c r="D31" i="6" l="1"/>
  <c r="D37" i="6"/>
  <c r="D36" i="6"/>
  <c r="D35" i="6"/>
  <c r="D34" i="6"/>
  <c r="D33" i="6"/>
  <c r="D32" i="6"/>
  <c r="D23" i="6"/>
  <c r="D25" i="6" s="1"/>
  <c r="D19" i="6"/>
  <c r="D10" i="6"/>
  <c r="D9" i="6"/>
  <c r="D12" i="6" l="1"/>
  <c r="D27" i="6" s="1"/>
  <c r="I267" i="8" l="1"/>
  <c r="I52" i="11" l="1"/>
  <c r="I53" i="11" s="1"/>
  <c r="A11" i="3" l="1"/>
  <c r="A12" i="3" s="1"/>
  <c r="A13" i="3" s="1"/>
  <c r="A14" i="3" s="1"/>
  <c r="A15" i="3" l="1"/>
  <c r="A16" i="3" s="1"/>
  <c r="A17" i="3" s="1"/>
  <c r="D16" i="3"/>
  <c r="H14" i="3" l="1"/>
  <c r="G14" i="3"/>
  <c r="G16" i="3" s="1"/>
  <c r="E14" i="3"/>
  <c r="I14" i="3"/>
  <c r="A18" i="3"/>
  <c r="A19" i="3" s="1"/>
  <c r="F14" i="3"/>
  <c r="D19" i="3" l="1"/>
  <c r="Y42" i="13" l="1"/>
  <c r="Y43" i="13" s="1"/>
  <c r="Z42" i="13"/>
  <c r="Z43" i="13" s="1"/>
  <c r="Z20" i="14" l="1"/>
  <c r="Z16" i="14"/>
  <c r="Z12" i="14"/>
  <c r="L22" i="14"/>
  <c r="Z14" i="14"/>
  <c r="Z19" i="14"/>
  <c r="Z15" i="14"/>
  <c r="Z11" i="14"/>
  <c r="S22" i="14"/>
  <c r="O22" i="14"/>
  <c r="K22" i="14"/>
  <c r="G22" i="14"/>
  <c r="P22" i="14"/>
  <c r="T22" i="14"/>
  <c r="H22" i="14"/>
  <c r="N22" i="14"/>
  <c r="Z21" i="14"/>
  <c r="Z17" i="14"/>
  <c r="U22" i="14"/>
  <c r="Q22" i="14"/>
  <c r="M22" i="14"/>
  <c r="I22" i="14"/>
  <c r="Z18" i="14"/>
  <c r="V22" i="14"/>
  <c r="R22" i="14"/>
  <c r="AP43" i="18" l="1"/>
  <c r="Z13" i="14"/>
  <c r="J22" i="14"/>
  <c r="Z10" i="14" l="1"/>
  <c r="A11" i="5" l="1"/>
  <c r="A12" i="5" s="1"/>
  <c r="A13" i="5" s="1"/>
  <c r="A14" i="5" s="1"/>
  <c r="D16" i="5" l="1"/>
  <c r="A15" i="5"/>
  <c r="A16" i="5" s="1"/>
  <c r="E14" i="5" l="1"/>
  <c r="G14" i="5"/>
  <c r="G16" i="5" s="1"/>
  <c r="G18" i="3" s="1"/>
  <c r="H14" i="5"/>
  <c r="I14" i="5"/>
  <c r="F14" i="5" l="1"/>
  <c r="H213" i="8" l="1"/>
  <c r="B18" i="27" l="1"/>
  <c r="H8" i="27"/>
  <c r="C8" i="27"/>
  <c r="H9" i="27"/>
  <c r="C9" i="27"/>
  <c r="B16" i="27"/>
  <c r="B79" i="27"/>
  <c r="B78" i="27"/>
  <c r="B77" i="27"/>
  <c r="B76" i="27"/>
  <c r="B75" i="27"/>
  <c r="B74" i="27"/>
  <c r="B66" i="27"/>
  <c r="B65" i="27"/>
  <c r="B64" i="27"/>
  <c r="B63" i="27"/>
  <c r="B62" i="27"/>
  <c r="B61" i="27"/>
  <c r="B50" i="27"/>
  <c r="B49" i="27"/>
  <c r="B48" i="27"/>
  <c r="B46" i="27"/>
  <c r="B39" i="27"/>
  <c r="B38" i="27"/>
  <c r="B37" i="27"/>
  <c r="B36" i="27"/>
  <c r="B34" i="27"/>
  <c r="B31" i="27"/>
  <c r="B30" i="27"/>
  <c r="B29" i="27"/>
  <c r="B28" i="27"/>
  <c r="B27" i="27"/>
  <c r="B26" i="27"/>
  <c r="B25" i="27"/>
  <c r="B24" i="27"/>
  <c r="B23" i="27"/>
  <c r="B22" i="27"/>
  <c r="B21" i="27"/>
  <c r="B17" i="27"/>
  <c r="H135" i="1"/>
  <c r="H131" i="1"/>
  <c r="B82" i="27"/>
  <c r="B81" i="27"/>
  <c r="B80" i="27"/>
  <c r="B73" i="27"/>
  <c r="B72" i="27"/>
  <c r="B71" i="27"/>
  <c r="F14" i="11"/>
  <c r="F10" i="11"/>
  <c r="F9" i="11"/>
  <c r="C309" i="8"/>
  <c r="C304" i="8"/>
  <c r="C294" i="8"/>
  <c r="B291" i="8"/>
  <c r="C286" i="8"/>
  <c r="C285" i="8"/>
  <c r="B284" i="8"/>
  <c r="A282" i="8"/>
  <c r="C278" i="8"/>
  <c r="B67" i="27" s="1"/>
  <c r="C276" i="8"/>
  <c r="C267" i="8"/>
  <c r="B69" i="27" s="1"/>
  <c r="C260" i="8"/>
  <c r="C253" i="8"/>
  <c r="C246" i="8"/>
  <c r="G223" i="8"/>
  <c r="C223" i="8"/>
  <c r="B70" i="27" s="1"/>
  <c r="B169" i="8"/>
  <c r="I157" i="8"/>
  <c r="C132" i="8"/>
  <c r="G41" i="10"/>
  <c r="G35" i="10"/>
  <c r="C28" i="10"/>
  <c r="F26" i="10"/>
  <c r="C26" i="10"/>
  <c r="F25" i="10"/>
  <c r="E25" i="10"/>
  <c r="D25" i="10"/>
  <c r="F24" i="10"/>
  <c r="E24" i="10"/>
  <c r="D24" i="10"/>
  <c r="F23" i="10"/>
  <c r="E23" i="10"/>
  <c r="D23" i="10"/>
  <c r="G21" i="10"/>
  <c r="E21" i="10"/>
  <c r="D21" i="10"/>
  <c r="F20" i="10"/>
  <c r="E20" i="10"/>
  <c r="D20" i="10"/>
  <c r="F19" i="10"/>
  <c r="E19" i="10"/>
  <c r="D19" i="10"/>
  <c r="E17" i="10"/>
  <c r="D17" i="10"/>
  <c r="F16" i="10"/>
  <c r="E16" i="10"/>
  <c r="D16" i="10"/>
  <c r="E15" i="10"/>
  <c r="D15" i="10"/>
  <c r="K23" i="11"/>
  <c r="H23" i="11"/>
  <c r="H293" i="8"/>
  <c r="H292" i="8"/>
  <c r="H285" i="8"/>
  <c r="H287" i="1" s="1"/>
  <c r="H260" i="8"/>
  <c r="H228" i="1" s="1"/>
  <c r="I34" i="10" s="1"/>
  <c r="H229" i="1"/>
  <c r="I35" i="10" s="1"/>
  <c r="H214" i="1"/>
  <c r="C24" i="11" s="1"/>
  <c r="C72" i="27"/>
  <c r="B7" i="28"/>
  <c r="B8" i="28" s="1"/>
  <c r="B9" i="28" s="1"/>
  <c r="B10" i="28" s="1"/>
  <c r="B11" i="28" s="1"/>
  <c r="B12" i="28" s="1"/>
  <c r="B13" i="28" s="1"/>
  <c r="B14" i="28" s="1"/>
  <c r="B15" i="28" s="1"/>
  <c r="B16" i="28" s="1"/>
  <c r="B17" i="28" s="1"/>
  <c r="B18" i="28" s="1"/>
  <c r="B19" i="28" s="1"/>
  <c r="B20" i="28" s="1"/>
  <c r="B21" i="28" s="1"/>
  <c r="B22" i="28" s="1"/>
  <c r="B23" i="28" s="1"/>
  <c r="B24" i="28" s="1"/>
  <c r="B25" i="28" s="1"/>
  <c r="B26" i="28" s="1"/>
  <c r="B27" i="28" s="1"/>
  <c r="B28" i="28" s="1"/>
  <c r="B29" i="28" s="1"/>
  <c r="B30" i="28" s="1"/>
  <c r="B31" i="28" s="1"/>
  <c r="B32" i="28" s="1"/>
  <c r="B33" i="28" s="1"/>
  <c r="B34" i="28" s="1"/>
  <c r="B35" i="28" s="1"/>
  <c r="B36" i="28" s="1"/>
  <c r="B37" i="28" s="1"/>
  <c r="B38" i="28" s="1"/>
  <c r="B39" i="28" s="1"/>
  <c r="B40" i="28" s="1"/>
  <c r="B41" i="28" s="1"/>
  <c r="B42" i="28" s="1"/>
  <c r="B43" i="28" s="1"/>
  <c r="B44" i="28" s="1"/>
  <c r="B45" i="28" s="1"/>
  <c r="B46" i="28" s="1"/>
  <c r="B47" i="28" s="1"/>
  <c r="B48" i="28" s="1"/>
  <c r="B49" i="28" s="1"/>
  <c r="B50" i="28" s="1"/>
  <c r="B51" i="28" s="1"/>
  <c r="B52" i="28" s="1"/>
  <c r="B53" i="28" s="1"/>
  <c r="B54" i="28" s="1"/>
  <c r="B55" i="28" s="1"/>
  <c r="B56" i="28" s="1"/>
  <c r="B57" i="28" s="1"/>
  <c r="B58" i="28" s="1"/>
  <c r="B59" i="28" s="1"/>
  <c r="B60" i="28" s="1"/>
  <c r="B61" i="28" s="1"/>
  <c r="B62" i="28" s="1"/>
  <c r="B63" i="28" s="1"/>
  <c r="B64" i="28" s="1"/>
  <c r="B65" i="28" s="1"/>
  <c r="B66" i="28" s="1"/>
  <c r="E7" i="7"/>
  <c r="H227" i="1"/>
  <c r="I33" i="10" s="1"/>
  <c r="A88" i="27"/>
  <c r="A89" i="27" s="1"/>
  <c r="A90" i="27" s="1"/>
  <c r="C38" i="27"/>
  <c r="C24" i="27"/>
  <c r="C23" i="27"/>
  <c r="C18" i="27"/>
  <c r="A16" i="27"/>
  <c r="A17" i="27" s="1"/>
  <c r="A18" i="27" s="1"/>
  <c r="A19" i="27" s="1"/>
  <c r="A20" i="27" s="1"/>
  <c r="A21" i="27" s="1"/>
  <c r="A22" i="27" s="1"/>
  <c r="A23" i="27" s="1"/>
  <c r="A24" i="27" s="1"/>
  <c r="A25" i="27" s="1"/>
  <c r="A26" i="27" s="1"/>
  <c r="A27" i="27" s="1"/>
  <c r="A28" i="27" s="1"/>
  <c r="A29" i="27" s="1"/>
  <c r="A30" i="27" s="1"/>
  <c r="A31" i="27" s="1"/>
  <c r="A32" i="27" s="1"/>
  <c r="A33" i="27" s="1"/>
  <c r="A34" i="27" s="1"/>
  <c r="A35" i="27" s="1"/>
  <c r="A36" i="27" s="1"/>
  <c r="A37" i="27" s="1"/>
  <c r="A38" i="27" s="1"/>
  <c r="A39" i="27" s="1"/>
  <c r="A40" i="27" s="1"/>
  <c r="A41" i="27" s="1"/>
  <c r="A42" i="27" s="1"/>
  <c r="A43" i="27" s="1"/>
  <c r="A44" i="27" s="1"/>
  <c r="A45" i="27" s="1"/>
  <c r="A46" i="27" s="1"/>
  <c r="A47" i="27" s="1"/>
  <c r="A48" i="27" s="1"/>
  <c r="A49" i="27" s="1"/>
  <c r="A50" i="27" s="1"/>
  <c r="A51" i="27" s="1"/>
  <c r="A52" i="27" s="1"/>
  <c r="A53" i="27" s="1"/>
  <c r="A54" i="27" s="1"/>
  <c r="A55" i="27" s="1"/>
  <c r="A56" i="27" s="1"/>
  <c r="A57" i="27" s="1"/>
  <c r="A58" i="27" s="1"/>
  <c r="A59" i="27" s="1"/>
  <c r="A60" i="27" s="1"/>
  <c r="A61" i="27" s="1"/>
  <c r="A62" i="27" s="1"/>
  <c r="A63" i="27" s="1"/>
  <c r="A64" i="27" s="1"/>
  <c r="A65" i="27" s="1"/>
  <c r="A66" i="27" s="1"/>
  <c r="A67" i="27" s="1"/>
  <c r="A68" i="27" s="1"/>
  <c r="A69" i="27" s="1"/>
  <c r="A70" i="27" s="1"/>
  <c r="A71" i="27" s="1"/>
  <c r="A72" i="27" s="1"/>
  <c r="A73" i="27" s="1"/>
  <c r="A74" i="27" s="1"/>
  <c r="A75" i="27" s="1"/>
  <c r="A76" i="27" s="1"/>
  <c r="A77" i="27" s="1"/>
  <c r="A78" i="27" s="1"/>
  <c r="A79" i="27" s="1"/>
  <c r="A80" i="27" s="1"/>
  <c r="A81" i="27" s="1"/>
  <c r="A82" i="27" s="1"/>
  <c r="E14" i="27"/>
  <c r="D14" i="27"/>
  <c r="E9" i="27"/>
  <c r="E41" i="7" s="1"/>
  <c r="E42" i="7" s="1"/>
  <c r="E9" i="7" s="1"/>
  <c r="A8" i="27"/>
  <c r="A9" i="27" s="1"/>
  <c r="B36" i="26"/>
  <c r="B35" i="26"/>
  <c r="B34" i="26"/>
  <c r="B33" i="26"/>
  <c r="B32" i="26"/>
  <c r="B31" i="26"/>
  <c r="B30" i="26"/>
  <c r="B29" i="26"/>
  <c r="B28" i="26"/>
  <c r="B27" i="26"/>
  <c r="B26" i="26"/>
  <c r="B25" i="26"/>
  <c r="Y7" i="24"/>
  <c r="Y6" i="24"/>
  <c r="L69" i="20"/>
  <c r="J69" i="20"/>
  <c r="I69" i="20"/>
  <c r="H69" i="20"/>
  <c r="D42" i="14"/>
  <c r="C42" i="14"/>
  <c r="D41" i="14"/>
  <c r="C41" i="14"/>
  <c r="D40" i="14"/>
  <c r="C40" i="14"/>
  <c r="D39" i="14"/>
  <c r="C39" i="14"/>
  <c r="D38" i="14"/>
  <c r="C38" i="14"/>
  <c r="D37" i="14"/>
  <c r="C37" i="14"/>
  <c r="D36" i="14"/>
  <c r="C36" i="14"/>
  <c r="D35" i="14"/>
  <c r="C35" i="14"/>
  <c r="D34" i="14"/>
  <c r="C34" i="14"/>
  <c r="D33" i="14"/>
  <c r="C33" i="14"/>
  <c r="D32" i="14"/>
  <c r="C32" i="14"/>
  <c r="D31" i="14"/>
  <c r="C31" i="14"/>
  <c r="X42" i="13"/>
  <c r="X43" i="13" s="1"/>
  <c r="W42" i="13"/>
  <c r="W43" i="13" s="1"/>
  <c r="V42" i="13"/>
  <c r="V43" i="13" s="1"/>
  <c r="S42" i="13"/>
  <c r="S43" i="13" s="1"/>
  <c r="R42" i="13"/>
  <c r="R43" i="13" s="1"/>
  <c r="P42" i="13"/>
  <c r="P43" i="13" s="1"/>
  <c r="N42" i="13"/>
  <c r="N43" i="13" s="1"/>
  <c r="M42" i="13"/>
  <c r="M43" i="13" s="1"/>
  <c r="L42" i="13"/>
  <c r="L43" i="13" s="1"/>
  <c r="K42" i="13"/>
  <c r="K43" i="13" s="1"/>
  <c r="J42" i="13"/>
  <c r="J43" i="13" s="1"/>
  <c r="I42" i="13"/>
  <c r="I43" i="13" s="1"/>
  <c r="H42" i="13"/>
  <c r="H43" i="13" s="1"/>
  <c r="G42" i="13"/>
  <c r="G43" i="13" s="1"/>
  <c r="F42" i="13"/>
  <c r="F43" i="13" s="1"/>
  <c r="E42" i="13"/>
  <c r="E43" i="13" s="1"/>
  <c r="D42" i="13"/>
  <c r="D43" i="13" s="1"/>
  <c r="C42" i="13"/>
  <c r="C43" i="13" s="1"/>
  <c r="R71" i="11"/>
  <c r="S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E38" i="11"/>
  <c r="E37" i="11"/>
  <c r="E36" i="11"/>
  <c r="E35" i="11"/>
  <c r="E34" i="11"/>
  <c r="D34" i="11"/>
  <c r="D36" i="11" s="1"/>
  <c r="E33" i="11"/>
  <c r="C33" i="11"/>
  <c r="C35" i="11" s="1"/>
  <c r="C37" i="11" s="1"/>
  <c r="C39" i="11" s="1"/>
  <c r="C41" i="11" s="1"/>
  <c r="C43" i="11" s="1"/>
  <c r="C45" i="11" s="1"/>
  <c r="C47" i="11" s="1"/>
  <c r="C49" i="11" s="1"/>
  <c r="C51" i="11" s="1"/>
  <c r="C53" i="11" s="1"/>
  <c r="C55" i="11" s="1"/>
  <c r="C57" i="11" s="1"/>
  <c r="C59" i="11" s="1"/>
  <c r="C61" i="11" s="1"/>
  <c r="C63" i="11" s="1"/>
  <c r="C65" i="11" s="1"/>
  <c r="C67" i="11" s="1"/>
  <c r="C69" i="11" s="1"/>
  <c r="N32" i="11"/>
  <c r="E32" i="11"/>
  <c r="D32" i="11"/>
  <c r="E31" i="11"/>
  <c r="D31" i="11"/>
  <c r="B31" i="11" s="1"/>
  <c r="N30" i="11"/>
  <c r="N31" i="11" s="1"/>
  <c r="E30" i="11"/>
  <c r="N27" i="11"/>
  <c r="E27" i="11"/>
  <c r="F49" i="11" s="1"/>
  <c r="A21" i="11"/>
  <c r="A22" i="11" s="1"/>
  <c r="A23" i="11" s="1"/>
  <c r="A24" i="11" s="1"/>
  <c r="A25" i="11" s="1"/>
  <c r="A26" i="11" s="1"/>
  <c r="A27"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D65" i="9"/>
  <c r="D60" i="9"/>
  <c r="C60" i="9"/>
  <c r="A60" i="9"/>
  <c r="D55" i="9"/>
  <c r="B55" i="9"/>
  <c r="A55" i="9"/>
  <c r="D53" i="9"/>
  <c r="D56" i="9" s="1"/>
  <c r="D61" i="9" s="1"/>
  <c r="D66" i="9" s="1"/>
  <c r="Q52" i="9"/>
  <c r="Q53" i="9" s="1"/>
  <c r="Q54" i="9" s="1"/>
  <c r="Q55" i="9" s="1"/>
  <c r="Q56" i="9" s="1"/>
  <c r="Q57" i="9" s="1"/>
  <c r="Q58" i="9" s="1"/>
  <c r="Q59" i="9" s="1"/>
  <c r="Q60" i="9" s="1"/>
  <c r="Q61" i="9" s="1"/>
  <c r="Q62" i="9" s="1"/>
  <c r="D52" i="9"/>
  <c r="B52" i="9"/>
  <c r="D49" i="9"/>
  <c r="N44" i="9"/>
  <c r="O33" i="9"/>
  <c r="U32" i="9"/>
  <c r="V32" i="9" s="1"/>
  <c r="U31" i="9"/>
  <c r="V31" i="9" s="1"/>
  <c r="Q31" i="9"/>
  <c r="P31" i="9"/>
  <c r="R31" i="9" s="1"/>
  <c r="L31" i="9"/>
  <c r="V28" i="9"/>
  <c r="U28" i="9"/>
  <c r="R28" i="9"/>
  <c r="P28" i="9"/>
  <c r="U26" i="9"/>
  <c r="P26" i="9"/>
  <c r="D22" i="9"/>
  <c r="C22" i="9"/>
  <c r="C25" i="9" s="1"/>
  <c r="C49" i="9" s="1"/>
  <c r="C52" i="9" s="1"/>
  <c r="B22" i="9"/>
  <c r="B25" i="9" s="1"/>
  <c r="B49" i="9" s="1"/>
  <c r="A22" i="9"/>
  <c r="C17" i="9"/>
  <c r="C15" i="9"/>
  <c r="C65" i="9" s="1"/>
  <c r="B14" i="9"/>
  <c r="B60" i="9" s="1"/>
  <c r="C10" i="9"/>
  <c r="C11" i="9" s="1"/>
  <c r="C12" i="9" s="1"/>
  <c r="C55" i="9" s="1"/>
  <c r="C9" i="9"/>
  <c r="B9" i="9"/>
  <c r="H325" i="8"/>
  <c r="H121" i="1" s="1"/>
  <c r="I294" i="8"/>
  <c r="G294" i="8"/>
  <c r="K253" i="8"/>
  <c r="H239" i="8"/>
  <c r="I237" i="8"/>
  <c r="J236" i="8"/>
  <c r="J239" i="8" s="1"/>
  <c r="I235" i="8"/>
  <c r="H220" i="8"/>
  <c r="C220" i="8"/>
  <c r="G219" i="8"/>
  <c r="C218" i="8"/>
  <c r="I209" i="8"/>
  <c r="I208" i="8"/>
  <c r="K172" i="8"/>
  <c r="G172" i="8"/>
  <c r="I151" i="8"/>
  <c r="G151" i="8"/>
  <c r="I147" i="8"/>
  <c r="G147" i="8"/>
  <c r="I143" i="8"/>
  <c r="G143" i="8"/>
  <c r="F134" i="8"/>
  <c r="F132" i="8"/>
  <c r="F130" i="8"/>
  <c r="F114" i="8"/>
  <c r="F109" i="8"/>
  <c r="F104" i="8"/>
  <c r="F88" i="8"/>
  <c r="F68" i="8"/>
  <c r="F62" i="8"/>
  <c r="G62" i="8"/>
  <c r="F46" i="8"/>
  <c r="G46" i="8"/>
  <c r="H42" i="1" s="1"/>
  <c r="F41" i="8"/>
  <c r="G41" i="8"/>
  <c r="H43" i="1" s="1"/>
  <c r="F36" i="8"/>
  <c r="G36" i="8"/>
  <c r="F20" i="8"/>
  <c r="B8" i="8"/>
  <c r="B9" i="8" s="1"/>
  <c r="B10" i="8" s="1"/>
  <c r="B11" i="8" s="1"/>
  <c r="B12" i="8" s="1"/>
  <c r="B13" i="8" s="1"/>
  <c r="B14" i="8" s="1"/>
  <c r="B15" i="8" s="1"/>
  <c r="B16" i="8" s="1"/>
  <c r="B17" i="8" s="1"/>
  <c r="B18" i="8" s="1"/>
  <c r="B19" i="8" s="1"/>
  <c r="F7" i="8"/>
  <c r="F23" i="8" s="1"/>
  <c r="D9" i="10"/>
  <c r="C18" i="7"/>
  <c r="C16" i="7"/>
  <c r="C15" i="7"/>
  <c r="A9" i="7"/>
  <c r="A10" i="7" s="1"/>
  <c r="A11" i="7" s="1"/>
  <c r="A8" i="7"/>
  <c r="D38" i="6"/>
  <c r="D40" i="6" s="1"/>
  <c r="B38" i="6"/>
  <c r="B37" i="6"/>
  <c r="B36" i="6"/>
  <c r="B35" i="6"/>
  <c r="B34" i="6"/>
  <c r="B33" i="6"/>
  <c r="B32" i="6"/>
  <c r="B31" i="6"/>
  <c r="A19" i="6"/>
  <c r="A25" i="6" s="1"/>
  <c r="A27" i="6" s="1"/>
  <c r="D46" i="4"/>
  <c r="D44" i="4"/>
  <c r="D39" i="4"/>
  <c r="D37" i="4"/>
  <c r="D32" i="4"/>
  <c r="D30" i="4"/>
  <c r="D28" i="4"/>
  <c r="D14" i="4"/>
  <c r="A8" i="2"/>
  <c r="A9" i="2" s="1"/>
  <c r="A10" i="2" s="1"/>
  <c r="A11" i="2" s="1"/>
  <c r="C10" i="27"/>
  <c r="C7" i="27"/>
  <c r="J80" i="27"/>
  <c r="A91" i="27" l="1"/>
  <c r="A92" i="27" s="1"/>
  <c r="A93" i="27" s="1"/>
  <c r="A94" i="27" s="1"/>
  <c r="A95" i="27" s="1"/>
  <c r="A96" i="27" s="1"/>
  <c r="A97" i="27" s="1"/>
  <c r="A98" i="27" s="1"/>
  <c r="A99" i="27" s="1"/>
  <c r="A101" i="27" s="1"/>
  <c r="A102" i="27" s="1"/>
  <c r="A103" i="27" s="1"/>
  <c r="C19" i="27"/>
  <c r="C58" i="27"/>
  <c r="C76" i="27"/>
  <c r="C42" i="27"/>
  <c r="C62" i="27"/>
  <c r="C80" i="27"/>
  <c r="C75" i="27"/>
  <c r="C43" i="27"/>
  <c r="C63" i="27"/>
  <c r="C27" i="27"/>
  <c r="C48" i="27"/>
  <c r="C66" i="27"/>
  <c r="C57" i="27"/>
  <c r="C28" i="27"/>
  <c r="C49" i="27"/>
  <c r="C67" i="27"/>
  <c r="C31" i="27"/>
  <c r="C53" i="27"/>
  <c r="C71" i="27"/>
  <c r="C82" i="27"/>
  <c r="C37" i="27"/>
  <c r="C33" i="27"/>
  <c r="C54" i="27"/>
  <c r="H294" i="8"/>
  <c r="H103" i="1" s="1"/>
  <c r="C79" i="27"/>
  <c r="C16" i="27"/>
  <c r="C21" i="27"/>
  <c r="C25" i="27"/>
  <c r="C29" i="27"/>
  <c r="C34" i="27"/>
  <c r="C39" i="27"/>
  <c r="C44" i="27"/>
  <c r="C50" i="27"/>
  <c r="C55" i="27"/>
  <c r="C59" i="27"/>
  <c r="C64" i="27"/>
  <c r="C69" i="27"/>
  <c r="C73" i="27"/>
  <c r="C77" i="27"/>
  <c r="C81" i="27"/>
  <c r="B27" i="6"/>
  <c r="C17" i="27"/>
  <c r="C22" i="27"/>
  <c r="C26" i="27"/>
  <c r="C30" i="27"/>
  <c r="C36" i="27"/>
  <c r="C41" i="27"/>
  <c r="C45" i="27"/>
  <c r="C52" i="27"/>
  <c r="C56" i="27"/>
  <c r="C61" i="27"/>
  <c r="C65" i="27"/>
  <c r="C70" i="27"/>
  <c r="C74" i="27"/>
  <c r="C78" i="27"/>
  <c r="J73" i="20"/>
  <c r="K69" i="20"/>
  <c r="C30" i="11"/>
  <c r="C32" i="11" s="1"/>
  <c r="I21" i="10"/>
  <c r="U42" i="13"/>
  <c r="U43" i="13" s="1"/>
  <c r="O42" i="13"/>
  <c r="O43" i="13" s="1"/>
  <c r="Q42" i="13"/>
  <c r="Q43" i="13" s="1"/>
  <c r="D45" i="27"/>
  <c r="D24" i="27"/>
  <c r="H49" i="8" s="1"/>
  <c r="D27" i="27"/>
  <c r="H23" i="8" s="1"/>
  <c r="D30" i="27"/>
  <c r="D39" i="27"/>
  <c r="H112" i="8" s="1"/>
  <c r="D70" i="27"/>
  <c r="D73" i="27"/>
  <c r="D41" i="27"/>
  <c r="D23" i="27"/>
  <c r="D29" i="27"/>
  <c r="D37" i="27"/>
  <c r="H91" i="8" s="1"/>
  <c r="T42" i="13"/>
  <c r="T43" i="13" s="1"/>
  <c r="D43" i="27"/>
  <c r="H164" i="8"/>
  <c r="D31" i="27"/>
  <c r="D28" i="27"/>
  <c r="D57" i="16"/>
  <c r="H197" i="1"/>
  <c r="D58" i="16"/>
  <c r="E42" i="18"/>
  <c r="E43" i="18" s="1"/>
  <c r="H193" i="1"/>
  <c r="H194" i="1"/>
  <c r="C21" i="23"/>
  <c r="H173" i="1"/>
  <c r="H180" i="1"/>
  <c r="G20" i="8"/>
  <c r="H38" i="1" s="1"/>
  <c r="G104" i="8"/>
  <c r="H184" i="1"/>
  <c r="G114" i="8"/>
  <c r="H56" i="1" s="1"/>
  <c r="H169" i="1"/>
  <c r="H172" i="1"/>
  <c r="H189" i="1"/>
  <c r="H167" i="1"/>
  <c r="H182" i="1"/>
  <c r="H183" i="1"/>
  <c r="H202" i="1"/>
  <c r="G130" i="8"/>
  <c r="E13" i="19"/>
  <c r="G109" i="8" s="1"/>
  <c r="H24" i="1" s="1"/>
  <c r="D40" i="16"/>
  <c r="E15" i="7" s="1"/>
  <c r="H175" i="1"/>
  <c r="H191" i="1"/>
  <c r="AE22" i="18"/>
  <c r="AE23" i="18" s="1"/>
  <c r="F15" i="16" s="1"/>
  <c r="AD12" i="13"/>
  <c r="AG22" i="18"/>
  <c r="AG23" i="18" s="1"/>
  <c r="AD22" i="18"/>
  <c r="AD23" i="18" s="1"/>
  <c r="F31" i="16" s="1"/>
  <c r="G88" i="8"/>
  <c r="H54" i="1" s="1"/>
  <c r="AF22" i="18"/>
  <c r="AF23" i="18" s="1"/>
  <c r="E34" i="7"/>
  <c r="I239" i="8"/>
  <c r="H130" i="1" s="1"/>
  <c r="D37" i="26"/>
  <c r="D32" i="9"/>
  <c r="D33" i="9"/>
  <c r="D34" i="9"/>
  <c r="D35" i="9"/>
  <c r="D36" i="9"/>
  <c r="D37" i="9"/>
  <c r="D38" i="9"/>
  <c r="D39" i="9"/>
  <c r="D40" i="9"/>
  <c r="D41" i="9"/>
  <c r="D42" i="9"/>
  <c r="D43" i="9"/>
  <c r="H168" i="1"/>
  <c r="H181" i="1"/>
  <c r="H192" i="1"/>
  <c r="D54" i="25"/>
  <c r="H166" i="1"/>
  <c r="H176" i="1"/>
  <c r="H190" i="1"/>
  <c r="H203" i="1"/>
  <c r="E23" i="18"/>
  <c r="D14" i="21"/>
  <c r="I170" i="8" s="1"/>
  <c r="E14" i="21"/>
  <c r="I171" i="8" s="1"/>
  <c r="D53" i="16"/>
  <c r="H174" i="1"/>
  <c r="H185" i="1"/>
  <c r="H200" i="1"/>
  <c r="I38" i="11"/>
  <c r="I39" i="11" s="1"/>
  <c r="I48" i="11"/>
  <c r="I49" i="11" s="1"/>
  <c r="I55" i="11" s="1"/>
  <c r="I63" i="11" s="1"/>
  <c r="I64" i="11" s="1"/>
  <c r="I65" i="11" s="1"/>
  <c r="I66" i="11" s="1"/>
  <c r="I67" i="11" s="1"/>
  <c r="I68" i="11" s="1"/>
  <c r="I69" i="11" s="1"/>
  <c r="I70" i="11" s="1"/>
  <c r="D48" i="16"/>
  <c r="AC22" i="18"/>
  <c r="AC23" i="18" s="1"/>
  <c r="F30" i="16" s="1"/>
  <c r="AA22" i="18"/>
  <c r="F53" i="11"/>
  <c r="F38" i="11"/>
  <c r="F33" i="11"/>
  <c r="F37" i="11"/>
  <c r="D38" i="11"/>
  <c r="F42" i="11"/>
  <c r="F67" i="11"/>
  <c r="F64" i="11"/>
  <c r="F59" i="11"/>
  <c r="F56" i="11"/>
  <c r="F68" i="11"/>
  <c r="F63" i="11"/>
  <c r="F60" i="11"/>
  <c r="F55" i="11"/>
  <c r="F52" i="11"/>
  <c r="F61" i="11"/>
  <c r="F54" i="11"/>
  <c r="F65" i="11"/>
  <c r="F58" i="11"/>
  <c r="F46" i="11"/>
  <c r="F41" i="11"/>
  <c r="F51" i="11"/>
  <c r="F47" i="11"/>
  <c r="F39" i="11"/>
  <c r="F36" i="11"/>
  <c r="F69" i="11"/>
  <c r="F50" i="11"/>
  <c r="F48" i="11"/>
  <c r="F35" i="11"/>
  <c r="F31" i="11"/>
  <c r="F40" i="11"/>
  <c r="F43" i="11"/>
  <c r="F32" i="11"/>
  <c r="D33" i="11"/>
  <c r="F44" i="11"/>
  <c r="O32" i="11"/>
  <c r="O30" i="11"/>
  <c r="O31" i="11" s="1"/>
  <c r="F30" i="11"/>
  <c r="F34" i="11"/>
  <c r="F45" i="11"/>
  <c r="F57" i="11"/>
  <c r="F62" i="11"/>
  <c r="F66" i="11"/>
  <c r="T71" i="11"/>
  <c r="S31" i="9"/>
  <c r="U33" i="9"/>
  <c r="V33" i="9" s="1"/>
  <c r="O34" i="9"/>
  <c r="B17" i="9"/>
  <c r="B15" i="9" s="1"/>
  <c r="B65" i="9" s="1"/>
  <c r="B20" i="8"/>
  <c r="D20" i="8"/>
  <c r="I215" i="8"/>
  <c r="H124" i="1" s="1"/>
  <c r="F24" i="8"/>
  <c r="F25" i="8" s="1"/>
  <c r="F26" i="8" s="1"/>
  <c r="F27" i="8" s="1"/>
  <c r="F28" i="8" s="1"/>
  <c r="F29" i="8" s="1"/>
  <c r="F30" i="8" s="1"/>
  <c r="F31" i="8" s="1"/>
  <c r="F32" i="8" s="1"/>
  <c r="F33" i="8" s="1"/>
  <c r="F34" i="8" s="1"/>
  <c r="F35" i="8" s="1"/>
  <c r="F39" i="8"/>
  <c r="F8" i="8"/>
  <c r="F9" i="8" s="1"/>
  <c r="F10" i="8" s="1"/>
  <c r="F11" i="8" s="1"/>
  <c r="F12" i="8" s="1"/>
  <c r="F13" i="8" s="1"/>
  <c r="F14" i="8" s="1"/>
  <c r="F15" i="8" s="1"/>
  <c r="F16" i="8" s="1"/>
  <c r="F17" i="8" s="1"/>
  <c r="F18" i="8" s="1"/>
  <c r="F19" i="8" s="1"/>
  <c r="D12" i="7"/>
  <c r="A12" i="7"/>
  <c r="D12" i="4" s="1"/>
  <c r="A40" i="6"/>
  <c r="A42" i="6" s="1"/>
  <c r="D12" i="2"/>
  <c r="A12" i="2"/>
  <c r="G134" i="8" l="1"/>
  <c r="G132" i="8"/>
  <c r="H23" i="1" s="1"/>
  <c r="G68" i="8"/>
  <c r="H21" i="1" s="1"/>
  <c r="F40" i="16"/>
  <c r="B42" i="6"/>
  <c r="AF59" i="24"/>
  <c r="I50" i="11"/>
  <c r="I51" i="11" s="1"/>
  <c r="I42" i="11"/>
  <c r="I43" i="11" s="1"/>
  <c r="I36" i="11"/>
  <c r="I37" i="11" s="1"/>
  <c r="I32" i="11"/>
  <c r="I33" i="11" s="1"/>
  <c r="I40" i="11"/>
  <c r="I41" i="11" s="1"/>
  <c r="I34" i="11"/>
  <c r="I35" i="11" s="1"/>
  <c r="I30" i="11"/>
  <c r="I31" i="11" s="1"/>
  <c r="B30" i="11"/>
  <c r="AC63" i="24"/>
  <c r="I73" i="20"/>
  <c r="D42" i="6"/>
  <c r="J42" i="14"/>
  <c r="AD21" i="13"/>
  <c r="J38" i="14"/>
  <c r="AD17" i="13"/>
  <c r="J40" i="14"/>
  <c r="AD19" i="13"/>
  <c r="J32" i="14"/>
  <c r="J41" i="14"/>
  <c r="AD20" i="13"/>
  <c r="J35" i="14"/>
  <c r="AD14" i="13"/>
  <c r="J37" i="14"/>
  <c r="AD16" i="13"/>
  <c r="G43" i="14"/>
  <c r="AA22" i="13"/>
  <c r="AA23" i="13" s="1"/>
  <c r="J36" i="14"/>
  <c r="AD15" i="13"/>
  <c r="J34" i="14"/>
  <c r="H43" i="14"/>
  <c r="AB22" i="13"/>
  <c r="AB23" i="13" s="1"/>
  <c r="J39" i="14"/>
  <c r="AD18" i="13"/>
  <c r="AA23" i="18"/>
  <c r="D59" i="16"/>
  <c r="E17" i="7" s="1"/>
  <c r="AR37" i="18"/>
  <c r="AT37" i="18" s="1"/>
  <c r="AV37" i="18" s="1"/>
  <c r="AR40" i="18"/>
  <c r="AT40" i="18" s="1"/>
  <c r="AV40" i="18" s="1"/>
  <c r="AR31" i="18"/>
  <c r="AR36" i="18"/>
  <c r="AT36" i="18" s="1"/>
  <c r="AV36" i="18" s="1"/>
  <c r="AR39" i="18"/>
  <c r="AT39" i="18" s="1"/>
  <c r="AV39" i="18" s="1"/>
  <c r="J31" i="14"/>
  <c r="I172" i="8"/>
  <c r="H48" i="1" s="1"/>
  <c r="AR41" i="18"/>
  <c r="AR35" i="18"/>
  <c r="AT35" i="18" s="1"/>
  <c r="AV35" i="18" s="1"/>
  <c r="AR32" i="18"/>
  <c r="AT32" i="18" s="1"/>
  <c r="AV32" i="18" s="1"/>
  <c r="AR34" i="18"/>
  <c r="AT34" i="18" s="1"/>
  <c r="AV34" i="18" s="1"/>
  <c r="AR33" i="18"/>
  <c r="AT33" i="18" s="1"/>
  <c r="AV33" i="18" s="1"/>
  <c r="AH22" i="18"/>
  <c r="AH23" i="18" s="1"/>
  <c r="F23" i="13"/>
  <c r="AR38" i="18"/>
  <c r="AT38" i="18" s="1"/>
  <c r="AV38" i="18" s="1"/>
  <c r="J23" i="13"/>
  <c r="E23" i="13"/>
  <c r="C22" i="13"/>
  <c r="C23" i="13" s="1"/>
  <c r="E22" i="14"/>
  <c r="D44" i="9"/>
  <c r="F22" i="14"/>
  <c r="J33" i="14"/>
  <c r="E43" i="14"/>
  <c r="F43" i="14"/>
  <c r="I218" i="8"/>
  <c r="I219" i="8"/>
  <c r="H23" i="13"/>
  <c r="K23" i="13"/>
  <c r="F23" i="18"/>
  <c r="C34" i="11"/>
  <c r="B32" i="11"/>
  <c r="O33" i="11"/>
  <c r="O34" i="11" s="1"/>
  <c r="D40" i="11"/>
  <c r="D35" i="11"/>
  <c r="B33" i="11"/>
  <c r="O35" i="9"/>
  <c r="U34" i="9"/>
  <c r="V34" i="9" s="1"/>
  <c r="F40" i="8"/>
  <c r="F44" i="8"/>
  <c r="B23" i="8"/>
  <c r="B24" i="8" s="1"/>
  <c r="B25" i="8" s="1"/>
  <c r="B26" i="8" s="1"/>
  <c r="B27" i="8" s="1"/>
  <c r="B28" i="8" s="1"/>
  <c r="B29" i="8" s="1"/>
  <c r="B30" i="8" s="1"/>
  <c r="B31" i="8" s="1"/>
  <c r="B32" i="8" s="1"/>
  <c r="B33" i="8" s="1"/>
  <c r="B34" i="8" s="1"/>
  <c r="B35" i="8" s="1"/>
  <c r="A15" i="7"/>
  <c r="A45" i="6"/>
  <c r="A47" i="6" s="1"/>
  <c r="A15" i="2"/>
  <c r="D15" i="2"/>
  <c r="AT41" i="18" l="1"/>
  <c r="AV41" i="18" s="1"/>
  <c r="AS42" i="18"/>
  <c r="AS43" i="18" s="1"/>
  <c r="AF63" i="24"/>
  <c r="AD13" i="13"/>
  <c r="Y22" i="13"/>
  <c r="Y23" i="13" s="1"/>
  <c r="Z22" i="13"/>
  <c r="Z23" i="13" s="1"/>
  <c r="AD11" i="13"/>
  <c r="AD10" i="13"/>
  <c r="Z22" i="14"/>
  <c r="AT31" i="18"/>
  <c r="AV31" i="18" s="1"/>
  <c r="AR42" i="18"/>
  <c r="AR43" i="18" s="1"/>
  <c r="I44" i="11"/>
  <c r="I45" i="11" s="1"/>
  <c r="I46" i="11"/>
  <c r="I47" i="11" s="1"/>
  <c r="J43" i="14"/>
  <c r="D22" i="13"/>
  <c r="I220" i="8"/>
  <c r="G23" i="13"/>
  <c r="AT30" i="18"/>
  <c r="C36" i="11"/>
  <c r="B34" i="11"/>
  <c r="D42" i="11"/>
  <c r="B35" i="11"/>
  <c r="D37" i="11"/>
  <c r="O35" i="11"/>
  <c r="O36" i="9"/>
  <c r="U35" i="9"/>
  <c r="V35" i="9" s="1"/>
  <c r="B36" i="8"/>
  <c r="D36" i="8"/>
  <c r="F49" i="8"/>
  <c r="F45" i="8"/>
  <c r="A16" i="7"/>
  <c r="A17" i="7" s="1"/>
  <c r="A18" i="7" s="1"/>
  <c r="A19" i="7" s="1"/>
  <c r="A20" i="7" s="1"/>
  <c r="D13" i="4" s="1"/>
  <c r="C47" i="6"/>
  <c r="A19" i="2"/>
  <c r="A21" i="2" s="1"/>
  <c r="A22" i="2" s="1"/>
  <c r="A23" i="2" s="1"/>
  <c r="D23" i="2"/>
  <c r="AD22" i="13" l="1"/>
  <c r="AD23" i="13" s="1"/>
  <c r="H119" i="1"/>
  <c r="D23" i="13"/>
  <c r="AV30" i="18"/>
  <c r="AV42" i="18" s="1"/>
  <c r="AV43" i="18" s="1"/>
  <c r="AT42" i="18"/>
  <c r="AT43" i="18" s="1"/>
  <c r="O36" i="11"/>
  <c r="D39" i="11"/>
  <c r="B37" i="11"/>
  <c r="C38" i="11"/>
  <c r="B36" i="11"/>
  <c r="D44" i="11"/>
  <c r="O37" i="9"/>
  <c r="U36" i="9"/>
  <c r="F75" i="8"/>
  <c r="F50" i="8"/>
  <c r="F51" i="8" s="1"/>
  <c r="F52" i="8" s="1"/>
  <c r="F53" i="8" s="1"/>
  <c r="F54" i="8" s="1"/>
  <c r="F55" i="8" s="1"/>
  <c r="F56" i="8" s="1"/>
  <c r="F57" i="8" s="1"/>
  <c r="F58" i="8" s="1"/>
  <c r="F59" i="8" s="1"/>
  <c r="F60" i="8" s="1"/>
  <c r="F61" i="8" s="1"/>
  <c r="B39" i="8"/>
  <c r="B40" i="8" s="1"/>
  <c r="A22" i="7"/>
  <c r="D22" i="7"/>
  <c r="D20" i="7"/>
  <c r="A25" i="2"/>
  <c r="D26" i="2"/>
  <c r="D25" i="2"/>
  <c r="D22" i="2"/>
  <c r="D21" i="2"/>
  <c r="E19" i="2" l="1"/>
  <c r="C40" i="11"/>
  <c r="B38" i="11"/>
  <c r="D41" i="11"/>
  <c r="B39" i="11"/>
  <c r="D46" i="11"/>
  <c r="O37" i="11"/>
  <c r="O38" i="9"/>
  <c r="U37" i="9"/>
  <c r="V37" i="9" s="1"/>
  <c r="V36" i="9"/>
  <c r="B41" i="8"/>
  <c r="D41" i="8"/>
  <c r="F91" i="8"/>
  <c r="F76" i="8"/>
  <c r="F77" i="8" s="1"/>
  <c r="F78" i="8" s="1"/>
  <c r="F79" i="8" s="1"/>
  <c r="F80" i="8" s="1"/>
  <c r="F81" i="8" s="1"/>
  <c r="F82" i="8" s="1"/>
  <c r="F83" i="8" s="1"/>
  <c r="F84" i="8" s="1"/>
  <c r="F85" i="8" s="1"/>
  <c r="F86" i="8" s="1"/>
  <c r="F87" i="8" s="1"/>
  <c r="A26" i="2"/>
  <c r="D28" i="2"/>
  <c r="O38" i="11" l="1"/>
  <c r="D48" i="11"/>
  <c r="B41" i="11"/>
  <c r="D43" i="11"/>
  <c r="C42" i="11"/>
  <c r="B40" i="11"/>
  <c r="O39" i="9"/>
  <c r="U38" i="9"/>
  <c r="V38" i="9" s="1"/>
  <c r="F107" i="8"/>
  <c r="F92" i="8"/>
  <c r="F93" i="8" s="1"/>
  <c r="F94" i="8" s="1"/>
  <c r="F95" i="8" s="1"/>
  <c r="F96" i="8" s="1"/>
  <c r="F97" i="8" s="1"/>
  <c r="F98" i="8" s="1"/>
  <c r="F99" i="8" s="1"/>
  <c r="F100" i="8" s="1"/>
  <c r="F101" i="8" s="1"/>
  <c r="F102" i="8" s="1"/>
  <c r="F103" i="8" s="1"/>
  <c r="B44" i="8"/>
  <c r="B45" i="8" s="1"/>
  <c r="A28" i="2"/>
  <c r="A29" i="2" s="1"/>
  <c r="D29" i="2"/>
  <c r="D45" i="11" l="1"/>
  <c r="B43" i="11"/>
  <c r="C44" i="11"/>
  <c r="B42" i="11"/>
  <c r="D50" i="11"/>
  <c r="O39" i="11"/>
  <c r="O40" i="9"/>
  <c r="U39" i="9"/>
  <c r="V39" i="9" s="1"/>
  <c r="F112" i="8"/>
  <c r="F108" i="8"/>
  <c r="D46" i="8"/>
  <c r="B46" i="8"/>
  <c r="O40" i="11" l="1"/>
  <c r="C46" i="11"/>
  <c r="B44" i="11"/>
  <c r="D52" i="11"/>
  <c r="D47" i="11"/>
  <c r="B45" i="11"/>
  <c r="O41" i="9"/>
  <c r="U40" i="9"/>
  <c r="V40" i="9" s="1"/>
  <c r="B49" i="8"/>
  <c r="B50" i="8" s="1"/>
  <c r="B51" i="8" s="1"/>
  <c r="B52" i="8" s="1"/>
  <c r="B53" i="8" s="1"/>
  <c r="B54" i="8" s="1"/>
  <c r="B55" i="8" s="1"/>
  <c r="B56" i="8" s="1"/>
  <c r="B57" i="8" s="1"/>
  <c r="B58" i="8" s="1"/>
  <c r="B59" i="8" s="1"/>
  <c r="B60" i="8" s="1"/>
  <c r="B61" i="8" s="1"/>
  <c r="F113" i="8"/>
  <c r="F117" i="8"/>
  <c r="F118" i="8" s="1"/>
  <c r="F119" i="8" s="1"/>
  <c r="F120" i="8" s="1"/>
  <c r="F121" i="8" s="1"/>
  <c r="F122" i="8" s="1"/>
  <c r="F123" i="8" s="1"/>
  <c r="F124" i="8" s="1"/>
  <c r="F125" i="8" s="1"/>
  <c r="F126" i="8" s="1"/>
  <c r="F127" i="8" s="1"/>
  <c r="F128" i="8" s="1"/>
  <c r="F129" i="8" s="1"/>
  <c r="C48" i="11" l="1"/>
  <c r="B46" i="11"/>
  <c r="D54" i="11"/>
  <c r="O41" i="11"/>
  <c r="D49" i="11"/>
  <c r="B47" i="11"/>
  <c r="U41" i="9"/>
  <c r="V41" i="9" s="1"/>
  <c r="O42" i="9"/>
  <c r="D62" i="8"/>
  <c r="B62" i="8"/>
  <c r="D51" i="11" l="1"/>
  <c r="B49" i="11"/>
  <c r="O42" i="11"/>
  <c r="C50" i="11"/>
  <c r="B48" i="11"/>
  <c r="D56" i="11"/>
  <c r="O43" i="9"/>
  <c r="U42" i="9"/>
  <c r="V42" i="9" s="1"/>
  <c r="B65" i="8"/>
  <c r="B68" i="8" s="1"/>
  <c r="B75" i="8" s="1"/>
  <c r="B76" i="8" s="1"/>
  <c r="B77" i="8" s="1"/>
  <c r="B78" i="8" s="1"/>
  <c r="B79" i="8" s="1"/>
  <c r="B80" i="8" s="1"/>
  <c r="B81" i="8" s="1"/>
  <c r="B82" i="8" s="1"/>
  <c r="B83" i="8" s="1"/>
  <c r="B84" i="8" s="1"/>
  <c r="B85" i="8" s="1"/>
  <c r="B86" i="8" s="1"/>
  <c r="B87" i="8" s="1"/>
  <c r="D68" i="8" l="1"/>
  <c r="D58" i="11"/>
  <c r="O43" i="11"/>
  <c r="C52" i="11"/>
  <c r="B50" i="11"/>
  <c r="D53" i="11"/>
  <c r="B51" i="11"/>
  <c r="U43" i="9"/>
  <c r="D88" i="8"/>
  <c r="B88" i="8"/>
  <c r="C54" i="11" l="1"/>
  <c r="B52" i="11"/>
  <c r="O44" i="11"/>
  <c r="D60" i="11"/>
  <c r="D55" i="11"/>
  <c r="B53" i="11"/>
  <c r="V43" i="9"/>
  <c r="W47" i="9" s="1"/>
  <c r="H73" i="1" s="1"/>
  <c r="U44" i="9"/>
  <c r="V44" i="9" s="1"/>
  <c r="B91" i="8"/>
  <c r="B92" i="8" s="1"/>
  <c r="B93" i="8" s="1"/>
  <c r="B94" i="8" s="1"/>
  <c r="B95" i="8" s="1"/>
  <c r="B96" i="8" s="1"/>
  <c r="B97" i="8" s="1"/>
  <c r="B98" i="8" s="1"/>
  <c r="B99" i="8" s="1"/>
  <c r="B100" i="8" s="1"/>
  <c r="B101" i="8" s="1"/>
  <c r="B102" i="8" s="1"/>
  <c r="B103" i="8" s="1"/>
  <c r="O45" i="11" l="1"/>
  <c r="H63" i="11"/>
  <c r="B55" i="11"/>
  <c r="D57" i="11"/>
  <c r="D62" i="11"/>
  <c r="C56" i="11"/>
  <c r="B54" i="11"/>
  <c r="D104" i="8"/>
  <c r="B104" i="8"/>
  <c r="D64" i="11" l="1"/>
  <c r="C58" i="11"/>
  <c r="B56" i="11"/>
  <c r="O46" i="11"/>
  <c r="H64" i="11"/>
  <c r="D59" i="11"/>
  <c r="B57" i="11"/>
  <c r="B107" i="8"/>
  <c r="B108" i="8" s="1"/>
  <c r="H30" i="11" l="1"/>
  <c r="H31" i="11" s="1"/>
  <c r="H65" i="11"/>
  <c r="B59" i="11"/>
  <c r="D61" i="11"/>
  <c r="O47" i="11"/>
  <c r="C60" i="11"/>
  <c r="B58" i="11"/>
  <c r="D66" i="11"/>
  <c r="D109" i="8"/>
  <c r="B109" i="8"/>
  <c r="C62" i="11" l="1"/>
  <c r="B60" i="11"/>
  <c r="H66" i="11"/>
  <c r="D68" i="11"/>
  <c r="D63" i="11"/>
  <c r="B61" i="11"/>
  <c r="O48" i="11"/>
  <c r="B112" i="8"/>
  <c r="B113" i="8" s="1"/>
  <c r="H67" i="11" l="1"/>
  <c r="O49" i="11"/>
  <c r="B63" i="11"/>
  <c r="D65" i="11"/>
  <c r="C64" i="11"/>
  <c r="B62" i="11"/>
  <c r="B114" i="8"/>
  <c r="D114" i="8"/>
  <c r="O50" i="11" l="1"/>
  <c r="C66" i="11"/>
  <c r="B64" i="11"/>
  <c r="D67" i="11"/>
  <c r="B65" i="11"/>
  <c r="H68" i="11"/>
  <c r="B117" i="8"/>
  <c r="B118" i="8" s="1"/>
  <c r="B119" i="8" s="1"/>
  <c r="B120" i="8" s="1"/>
  <c r="B121" i="8" s="1"/>
  <c r="B122" i="8" s="1"/>
  <c r="B123" i="8" s="1"/>
  <c r="B124" i="8" s="1"/>
  <c r="B125" i="8" s="1"/>
  <c r="B126" i="8" s="1"/>
  <c r="B127" i="8" s="1"/>
  <c r="B128" i="8" s="1"/>
  <c r="B129" i="8" s="1"/>
  <c r="O51" i="11" l="1"/>
  <c r="C68" i="11"/>
  <c r="B68" i="11" s="1"/>
  <c r="B66" i="11"/>
  <c r="H69" i="11"/>
  <c r="B67" i="11"/>
  <c r="D69" i="11"/>
  <c r="B130" i="8"/>
  <c r="D130" i="8"/>
  <c r="B69" i="11" l="1"/>
  <c r="O52" i="11"/>
  <c r="B132" i="8"/>
  <c r="B134" i="8" s="1"/>
  <c r="D132" i="8"/>
  <c r="D134" i="8"/>
  <c r="O53" i="11" l="1"/>
  <c r="O54" i="11" l="1"/>
  <c r="O55" i="11" l="1"/>
  <c r="O56" i="11" l="1"/>
  <c r="O57" i="11" l="1"/>
  <c r="O58" i="11" l="1"/>
  <c r="H32" i="11" l="1"/>
  <c r="H33" i="11" s="1"/>
  <c r="O59" i="11"/>
  <c r="O60" i="11" l="1"/>
  <c r="O61" i="11" l="1"/>
  <c r="O62" i="11" l="1"/>
  <c r="O63" i="11" l="1"/>
  <c r="O64" i="11" l="1"/>
  <c r="O65" i="11" l="1"/>
  <c r="O66" i="11" l="1"/>
  <c r="O67" i="11" l="1"/>
  <c r="O68" i="11" l="1"/>
  <c r="O69" i="11" l="1"/>
  <c r="O70" i="11" l="1"/>
  <c r="H34" i="11" l="1"/>
  <c r="H35" i="11" s="1"/>
  <c r="C305" i="1" l="1"/>
  <c r="C304" i="1"/>
  <c r="E293" i="1"/>
  <c r="C282" i="1"/>
  <c r="C272" i="1"/>
  <c r="E260" i="1"/>
  <c r="C259" i="1"/>
  <c r="E228" i="1"/>
  <c r="E260" i="8" s="1"/>
  <c r="E227" i="1"/>
  <c r="E214" i="1"/>
  <c r="E207" i="1"/>
  <c r="P194" i="1"/>
  <c r="L194" i="1"/>
  <c r="P193" i="1"/>
  <c r="L193" i="1"/>
  <c r="P192" i="1"/>
  <c r="L192" i="1"/>
  <c r="P191" i="1"/>
  <c r="L191" i="1"/>
  <c r="E185" i="1"/>
  <c r="E184" i="1"/>
  <c r="E183" i="1"/>
  <c r="E182" i="1"/>
  <c r="E181" i="1"/>
  <c r="E180" i="1"/>
  <c r="E176" i="1"/>
  <c r="E175" i="1"/>
  <c r="E174" i="1"/>
  <c r="E173" i="1"/>
  <c r="E172" i="1"/>
  <c r="P169" i="1"/>
  <c r="L169" i="1"/>
  <c r="P168" i="1"/>
  <c r="L168" i="1"/>
  <c r="O153" i="1"/>
  <c r="L153" i="1"/>
  <c r="E153" i="1"/>
  <c r="E148" i="1"/>
  <c r="E147" i="1"/>
  <c r="E145" i="1"/>
  <c r="E134" i="1"/>
  <c r="E224" i="8" s="1"/>
  <c r="E130" i="1"/>
  <c r="E124" i="1"/>
  <c r="E215" i="8" s="1"/>
  <c r="E122" i="1"/>
  <c r="O121" i="1"/>
  <c r="P121" i="1" s="1"/>
  <c r="E119" i="1"/>
  <c r="E103" i="1"/>
  <c r="E294" i="8" s="1"/>
  <c r="P100" i="1"/>
  <c r="L100" i="1"/>
  <c r="E99" i="1"/>
  <c r="E94" i="1"/>
  <c r="E151" i="8" s="1"/>
  <c r="E91" i="1"/>
  <c r="E147" i="8" s="1"/>
  <c r="P90" i="1"/>
  <c r="P88" i="1"/>
  <c r="L88" i="1"/>
  <c r="E88" i="1"/>
  <c r="E143" i="8" s="1"/>
  <c r="P85" i="1"/>
  <c r="L85" i="1"/>
  <c r="E85" i="1"/>
  <c r="E82" i="1"/>
  <c r="P73" i="1"/>
  <c r="L73" i="1"/>
  <c r="E73" i="1"/>
  <c r="C59" i="1"/>
  <c r="E57" i="1"/>
  <c r="C57" i="1"/>
  <c r="E56" i="1"/>
  <c r="E114" i="8" s="1"/>
  <c r="E54" i="1"/>
  <c r="E88" i="8" s="1"/>
  <c r="E48" i="1"/>
  <c r="E172" i="8" s="1"/>
  <c r="E43" i="1"/>
  <c r="E41" i="8" s="1"/>
  <c r="E42" i="1"/>
  <c r="E46" i="8" s="1"/>
  <c r="E39" i="1"/>
  <c r="E38" i="1"/>
  <c r="E20" i="8" s="1"/>
  <c r="E24" i="1"/>
  <c r="E109" i="8" s="1"/>
  <c r="E23" i="1"/>
  <c r="E132" i="8" s="1"/>
  <c r="E21" i="1"/>
  <c r="E68" i="8" s="1"/>
  <c r="A14" i="1"/>
  <c r="P7" i="1"/>
  <c r="L7" i="1"/>
  <c r="H5" i="1"/>
  <c r="O7" i="1" s="1"/>
  <c r="J81" i="27"/>
  <c r="H36" i="11" l="1"/>
  <c r="H37" i="11" s="1"/>
  <c r="E209" i="1"/>
  <c r="F17" i="10" s="1"/>
  <c r="F15" i="10"/>
  <c r="E314" i="8"/>
  <c r="E308" i="8"/>
  <c r="E302" i="8"/>
  <c r="E313" i="8"/>
  <c r="E307" i="8"/>
  <c r="E309" i="8"/>
  <c r="E303" i="8"/>
  <c r="E312" i="8"/>
  <c r="E304" i="8"/>
  <c r="F21" i="10"/>
  <c r="A15" i="1"/>
  <c r="A16" i="1" s="1"/>
  <c r="O73" i="1"/>
  <c r="K121" i="1"/>
  <c r="L121" i="1" s="1"/>
  <c r="O135" i="1"/>
  <c r="P135" i="1" s="1"/>
  <c r="K7" i="1"/>
  <c r="K135" i="1"/>
  <c r="L135" i="1" s="1"/>
  <c r="K228" i="1"/>
  <c r="K73" i="1"/>
  <c r="P153" i="1"/>
  <c r="O287" i="1"/>
  <c r="P287" i="1" s="1"/>
  <c r="K85" i="1"/>
  <c r="K153" i="1"/>
  <c r="K287" i="1"/>
  <c r="L287" i="1" s="1"/>
  <c r="K124" i="1"/>
  <c r="L124" i="1" s="1"/>
  <c r="O124" i="1"/>
  <c r="P124" i="1" s="1"/>
  <c r="K227" i="1"/>
  <c r="O227" i="1"/>
  <c r="K103" i="1"/>
  <c r="L103" i="1" s="1"/>
  <c r="O103" i="1"/>
  <c r="P103" i="1" s="1"/>
  <c r="O85" i="1"/>
  <c r="K131" i="1"/>
  <c r="L131" i="1" s="1"/>
  <c r="O131" i="1"/>
  <c r="P131" i="1" s="1"/>
  <c r="H230" i="1"/>
  <c r="H239" i="1" s="1"/>
  <c r="O229" i="1"/>
  <c r="O228" i="1"/>
  <c r="K229" i="1"/>
  <c r="J82" i="27"/>
  <c r="F16" i="1" l="1"/>
  <c r="H231" i="1"/>
  <c r="I49" i="10"/>
  <c r="K239" i="1"/>
  <c r="L239" i="1" s="1"/>
  <c r="O239" i="1"/>
  <c r="P239" i="1" s="1"/>
  <c r="I36" i="10"/>
  <c r="I37" i="10" s="1"/>
  <c r="F18" i="1"/>
  <c r="A18" i="1"/>
  <c r="I38" i="10" l="1"/>
  <c r="F126" i="1"/>
  <c r="F92" i="1"/>
  <c r="F89" i="1"/>
  <c r="F59" i="1"/>
  <c r="F45" i="1"/>
  <c r="F150" i="1"/>
  <c r="A21" i="1"/>
  <c r="A68" i="8" s="1"/>
  <c r="A23" i="1" l="1"/>
  <c r="A132" i="8" s="1"/>
  <c r="A24" i="1" l="1"/>
  <c r="A109" i="8" s="1"/>
  <c r="F25" i="1"/>
  <c r="A25" i="1" l="1"/>
  <c r="F57" i="1"/>
  <c r="A27" i="1" l="1"/>
  <c r="A29" i="1" s="1"/>
  <c r="F27" i="1"/>
  <c r="A30" i="1" l="1"/>
  <c r="F30" i="1"/>
  <c r="F137" i="1" l="1"/>
  <c r="A32" i="1"/>
  <c r="F33" i="1" l="1"/>
  <c r="A33" i="1"/>
  <c r="A38" i="1" s="1"/>
  <c r="A20" i="8" s="1"/>
  <c r="F259" i="1" l="1"/>
  <c r="A39" i="1"/>
  <c r="P46" i="9" l="1"/>
  <c r="C300" i="1"/>
  <c r="A40" i="1"/>
  <c r="F40" i="1"/>
  <c r="H38" i="11" l="1"/>
  <c r="H39" i="11" s="1"/>
  <c r="A42" i="1"/>
  <c r="A46" i="8" s="1"/>
  <c r="A43" i="1" l="1"/>
  <c r="A44" i="1" l="1"/>
  <c r="A41" i="8"/>
  <c r="F44" i="1"/>
  <c r="A45" i="1"/>
  <c r="A46" i="1" s="1"/>
  <c r="F46" i="1" l="1"/>
  <c r="A48" i="1"/>
  <c r="F50" i="1" s="1"/>
  <c r="A50" i="1" l="1"/>
  <c r="A172" i="8"/>
  <c r="K174" i="1"/>
  <c r="L174" i="1" s="1"/>
  <c r="O174" i="1"/>
  <c r="P174" i="1" s="1"/>
  <c r="O169" i="1"/>
  <c r="K169" i="1"/>
  <c r="K175" i="1"/>
  <c r="L175" i="1" s="1"/>
  <c r="O175" i="1"/>
  <c r="P175" i="1" s="1"/>
  <c r="K191" i="1"/>
  <c r="O191" i="1"/>
  <c r="F29" i="1"/>
  <c r="A54" i="1"/>
  <c r="A88" i="8" s="1"/>
  <c r="H57" i="1" l="1"/>
  <c r="O24" i="1"/>
  <c r="P24" i="1" s="1"/>
  <c r="K24" i="1"/>
  <c r="L24" i="1" s="1"/>
  <c r="K173" i="1"/>
  <c r="L173" i="1" s="1"/>
  <c r="O173" i="1"/>
  <c r="P173" i="1" s="1"/>
  <c r="K43" i="1"/>
  <c r="L43" i="1" s="1"/>
  <c r="O43" i="1"/>
  <c r="P43" i="1" s="1"/>
  <c r="K184" i="1"/>
  <c r="L184" i="1" s="1"/>
  <c r="O184" i="1"/>
  <c r="P184" i="1" s="1"/>
  <c r="O202" i="1"/>
  <c r="P202" i="1" s="1"/>
  <c r="K202" i="1"/>
  <c r="L202" i="1" s="1"/>
  <c r="A56" i="1"/>
  <c r="A114" i="8" s="1"/>
  <c r="O21" i="1" l="1"/>
  <c r="P21" i="1" s="1"/>
  <c r="K21" i="1"/>
  <c r="L21" i="1" s="1"/>
  <c r="O168" i="1"/>
  <c r="K168" i="1"/>
  <c r="K194" i="1"/>
  <c r="O194" i="1"/>
  <c r="K167" i="1"/>
  <c r="L167" i="1" s="1"/>
  <c r="O167" i="1"/>
  <c r="P167" i="1" s="1"/>
  <c r="O185" i="1"/>
  <c r="P185" i="1" s="1"/>
  <c r="K185" i="1"/>
  <c r="L185" i="1" s="1"/>
  <c r="H195" i="1"/>
  <c r="O189" i="1"/>
  <c r="P189" i="1" s="1"/>
  <c r="K189" i="1"/>
  <c r="L189" i="1" s="1"/>
  <c r="O172" i="1"/>
  <c r="P172" i="1" s="1"/>
  <c r="K172" i="1"/>
  <c r="L172" i="1" s="1"/>
  <c r="K176" i="1"/>
  <c r="L176" i="1" s="1"/>
  <c r="O176" i="1"/>
  <c r="P176" i="1" s="1"/>
  <c r="O193" i="1"/>
  <c r="K193" i="1"/>
  <c r="O166" i="1"/>
  <c r="P166" i="1" s="1"/>
  <c r="K166" i="1"/>
  <c r="L166" i="1" s="1"/>
  <c r="H170" i="1"/>
  <c r="K57" i="1"/>
  <c r="L57" i="1" s="1"/>
  <c r="O57" i="1"/>
  <c r="P57" i="1" s="1"/>
  <c r="O192" i="1"/>
  <c r="K192" i="1"/>
  <c r="O48" i="1"/>
  <c r="P48" i="1" s="1"/>
  <c r="K48" i="1"/>
  <c r="L48" i="1" s="1"/>
  <c r="K56" i="1"/>
  <c r="L56" i="1" s="1"/>
  <c r="O56" i="1"/>
  <c r="P56" i="1" s="1"/>
  <c r="H58" i="1"/>
  <c r="O200" i="1"/>
  <c r="P200" i="1" s="1"/>
  <c r="K200" i="1"/>
  <c r="L200" i="1" s="1"/>
  <c r="O54" i="1"/>
  <c r="P54" i="1" s="1"/>
  <c r="K54" i="1"/>
  <c r="L54" i="1" s="1"/>
  <c r="K182" i="1"/>
  <c r="L182" i="1" s="1"/>
  <c r="O182" i="1"/>
  <c r="P182" i="1" s="1"/>
  <c r="K190" i="1"/>
  <c r="L190" i="1" s="1"/>
  <c r="O190" i="1"/>
  <c r="P190" i="1" s="1"/>
  <c r="K130" i="1"/>
  <c r="L130" i="1" s="1"/>
  <c r="O130" i="1"/>
  <c r="P130" i="1" s="1"/>
  <c r="H132" i="1"/>
  <c r="O203" i="1"/>
  <c r="P203" i="1" s="1"/>
  <c r="K203" i="1"/>
  <c r="L203" i="1" s="1"/>
  <c r="O181" i="1"/>
  <c r="P181" i="1" s="1"/>
  <c r="K181" i="1"/>
  <c r="L181" i="1" s="1"/>
  <c r="O183" i="1"/>
  <c r="P183" i="1" s="1"/>
  <c r="K183" i="1"/>
  <c r="L183" i="1" s="1"/>
  <c r="H259" i="1"/>
  <c r="K38" i="1"/>
  <c r="L38" i="1" s="1"/>
  <c r="O38" i="1"/>
  <c r="P38" i="1" s="1"/>
  <c r="H44" i="1"/>
  <c r="K42" i="1"/>
  <c r="L42" i="1" s="1"/>
  <c r="O42" i="1"/>
  <c r="P42" i="1" s="1"/>
  <c r="O197" i="1"/>
  <c r="P197" i="1" s="1"/>
  <c r="K197" i="1"/>
  <c r="L197" i="1" s="1"/>
  <c r="O180" i="1"/>
  <c r="P180" i="1" s="1"/>
  <c r="K180" i="1"/>
  <c r="L180" i="1" s="1"/>
  <c r="H186" i="1"/>
  <c r="A57" i="1"/>
  <c r="A58" i="1" s="1"/>
  <c r="H213" i="1" l="1"/>
  <c r="I20" i="10" s="1"/>
  <c r="K186" i="1"/>
  <c r="L186" i="1" s="1"/>
  <c r="O186" i="1"/>
  <c r="P186" i="1" s="1"/>
  <c r="O44" i="1"/>
  <c r="P44" i="1" s="1"/>
  <c r="K44" i="1"/>
  <c r="L44" i="1" s="1"/>
  <c r="H25" i="1"/>
  <c r="O23" i="1"/>
  <c r="P23" i="1" s="1"/>
  <c r="K23" i="1"/>
  <c r="L23" i="1" s="1"/>
  <c r="O170" i="1"/>
  <c r="P170" i="1" s="1"/>
  <c r="H177" i="1"/>
  <c r="H212" i="1" s="1"/>
  <c r="I19" i="10" s="1"/>
  <c r="K170" i="1"/>
  <c r="L170" i="1" s="1"/>
  <c r="O119" i="1"/>
  <c r="P119" i="1" s="1"/>
  <c r="K119" i="1"/>
  <c r="L119" i="1" s="1"/>
  <c r="K132" i="1"/>
  <c r="L132" i="1" s="1"/>
  <c r="O132" i="1"/>
  <c r="P132" i="1" s="1"/>
  <c r="O58" i="1"/>
  <c r="P58" i="1" s="1"/>
  <c r="K58" i="1"/>
  <c r="L58" i="1" s="1"/>
  <c r="H201" i="1"/>
  <c r="O195" i="1"/>
  <c r="P195" i="1" s="1"/>
  <c r="K195" i="1"/>
  <c r="L195" i="1" s="1"/>
  <c r="O259" i="1"/>
  <c r="P259" i="1" s="1"/>
  <c r="K259" i="1"/>
  <c r="L259" i="1" s="1"/>
  <c r="A59" i="1"/>
  <c r="A60" i="1" s="1"/>
  <c r="F58" i="1"/>
  <c r="O213" i="1" l="1"/>
  <c r="K213" i="1"/>
  <c r="K212" i="1"/>
  <c r="O212" i="1"/>
  <c r="K201" i="1"/>
  <c r="L201" i="1" s="1"/>
  <c r="O201" i="1"/>
  <c r="P201" i="1" s="1"/>
  <c r="H204" i="1"/>
  <c r="H207" i="1" s="1"/>
  <c r="O25" i="1"/>
  <c r="P25" i="1" s="1"/>
  <c r="K25" i="1"/>
  <c r="L25" i="1" s="1"/>
  <c r="H27" i="1"/>
  <c r="O177" i="1"/>
  <c r="P177" i="1" s="1"/>
  <c r="K177" i="1"/>
  <c r="L177" i="1" s="1"/>
  <c r="A62" i="1"/>
  <c r="F62" i="1"/>
  <c r="F60" i="1"/>
  <c r="H208" i="1" l="1"/>
  <c r="H209" i="1"/>
  <c r="O204" i="1"/>
  <c r="P204" i="1" s="1"/>
  <c r="I17" i="10"/>
  <c r="I25" i="10" s="1"/>
  <c r="K204" i="1"/>
  <c r="L204" i="1" s="1"/>
  <c r="O27" i="1"/>
  <c r="P27" i="1" s="1"/>
  <c r="K27" i="1"/>
  <c r="L27" i="1" s="1"/>
  <c r="A64" i="1"/>
  <c r="F64" i="1"/>
  <c r="I16" i="10" l="1"/>
  <c r="I24" i="10" s="1"/>
  <c r="I15" i="10"/>
  <c r="I23" i="10" s="1"/>
  <c r="K208" i="1"/>
  <c r="H218" i="1"/>
  <c r="O208" i="1"/>
  <c r="K209" i="1"/>
  <c r="H219" i="1"/>
  <c r="O209" i="1"/>
  <c r="K207" i="1"/>
  <c r="H217" i="1"/>
  <c r="F246" i="1"/>
  <c r="A69" i="1"/>
  <c r="A70" i="1" s="1"/>
  <c r="F32" i="1"/>
  <c r="I26" i="10" l="1"/>
  <c r="O207" i="1"/>
  <c r="H220" i="1"/>
  <c r="K220" i="1" s="1"/>
  <c r="A73" i="1"/>
  <c r="H40" i="11" l="1"/>
  <c r="H41" i="11" s="1"/>
  <c r="P47" i="9"/>
  <c r="G53" i="9"/>
  <c r="G23" i="9"/>
  <c r="G66" i="9"/>
  <c r="G61" i="9"/>
  <c r="G50" i="9"/>
  <c r="O220" i="1"/>
  <c r="A76" i="1"/>
  <c r="A164" i="8" s="1"/>
  <c r="F282" i="1"/>
  <c r="F273" i="1"/>
  <c r="A79" i="1" l="1"/>
  <c r="A82" i="1" s="1"/>
  <c r="A85" i="1" s="1"/>
  <c r="A88" i="1" s="1"/>
  <c r="A143" i="8" s="1"/>
  <c r="A89" i="1" l="1"/>
  <c r="A90" i="1" s="1"/>
  <c r="A91" i="1" l="1"/>
  <c r="A147" i="8" s="1"/>
  <c r="F90" i="1"/>
  <c r="A92" i="1" l="1"/>
  <c r="A93" i="1" s="1"/>
  <c r="A94" i="1" l="1"/>
  <c r="F95" i="1"/>
  <c r="F93" i="1"/>
  <c r="A95" i="1" l="1"/>
  <c r="A151" i="8"/>
  <c r="A98" i="1"/>
  <c r="A99" i="1" l="1"/>
  <c r="H10" i="27"/>
  <c r="A100" i="1" l="1"/>
  <c r="F100" i="1"/>
  <c r="A103" i="1" l="1"/>
  <c r="F105" i="1" s="1"/>
  <c r="A105" i="1"/>
  <c r="F107" i="1" s="1"/>
  <c r="F247" i="1"/>
  <c r="A107" i="1" l="1"/>
  <c r="A294" i="8"/>
  <c r="F248" i="1"/>
  <c r="A112" i="1"/>
  <c r="A267" i="8" s="1"/>
  <c r="A113" i="1" l="1"/>
  <c r="H42" i="11" l="1"/>
  <c r="H43" i="11" s="1"/>
  <c r="A114" i="1"/>
  <c r="A276" i="8"/>
  <c r="A115" i="1" l="1"/>
  <c r="A118" i="1" s="1"/>
  <c r="A278" i="8"/>
  <c r="F115" i="1"/>
  <c r="A119" i="1"/>
  <c r="J73" i="27"/>
  <c r="A120" i="1" l="1"/>
  <c r="A121" i="1" s="1"/>
  <c r="A122" i="1" s="1"/>
  <c r="A220" i="8"/>
  <c r="J71" i="27"/>
  <c r="A123" i="1" l="1"/>
  <c r="A325" i="8"/>
  <c r="J72" i="27"/>
  <c r="A124" i="1" l="1"/>
  <c r="A125" i="1" l="1"/>
  <c r="A215" i="8"/>
  <c r="F125" i="1"/>
  <c r="A126" i="1" l="1"/>
  <c r="A127" i="1" s="1"/>
  <c r="A130" i="1" s="1"/>
  <c r="F127" i="1" l="1"/>
  <c r="A239" i="8"/>
  <c r="A131" i="1"/>
  <c r="F132" i="1" l="1"/>
  <c r="A246" i="8"/>
  <c r="A132" i="1"/>
  <c r="A134" i="1" s="1"/>
  <c r="A224" i="8" l="1"/>
  <c r="A135" i="1"/>
  <c r="F136" i="1" s="1"/>
  <c r="A136" i="1" l="1"/>
  <c r="A253" i="8"/>
  <c r="A137" i="1" l="1"/>
  <c r="A138" i="1" s="1"/>
  <c r="F138" i="1"/>
  <c r="H44" i="11" l="1"/>
  <c r="H45" i="11" s="1"/>
  <c r="F140" i="1"/>
  <c r="A140" i="1"/>
  <c r="A145" i="1" l="1"/>
  <c r="F250" i="1"/>
  <c r="F98" i="1"/>
  <c r="A304" i="8" l="1"/>
  <c r="A147" i="1"/>
  <c r="A309" i="8" l="1"/>
  <c r="A148" i="1"/>
  <c r="F149" i="1" s="1"/>
  <c r="A149" i="1" l="1"/>
  <c r="A314" i="8"/>
  <c r="A150" i="1" l="1"/>
  <c r="A151" i="1" s="1"/>
  <c r="F151" i="1" l="1"/>
  <c r="A153" i="1"/>
  <c r="A155" i="1" s="1"/>
  <c r="F155" i="1"/>
  <c r="F251" i="1" l="1"/>
  <c r="A159" i="1"/>
  <c r="F161" i="1" l="1"/>
  <c r="A161" i="1"/>
  <c r="F252" i="1" l="1"/>
  <c r="A166" i="1"/>
  <c r="A167" i="1" l="1"/>
  <c r="A168" i="1" s="1"/>
  <c r="A169" i="1" s="1"/>
  <c r="A170" i="1" s="1"/>
  <c r="F170" i="1" l="1"/>
  <c r="A172" i="1"/>
  <c r="A173" i="1" s="1"/>
  <c r="A174" i="1" s="1"/>
  <c r="A175" i="1" s="1"/>
  <c r="A176" i="1" s="1"/>
  <c r="A177" i="1" s="1"/>
  <c r="A180" i="1" s="1"/>
  <c r="H46" i="11" l="1"/>
  <c r="H47" i="11" s="1"/>
  <c r="F177" i="1"/>
  <c r="A181" i="1"/>
  <c r="A182" i="1" s="1"/>
  <c r="A183" i="1" s="1"/>
  <c r="A184" i="1" s="1"/>
  <c r="A185" i="1" s="1"/>
  <c r="A186" i="1" s="1"/>
  <c r="F186" i="1" l="1"/>
  <c r="F212" i="1"/>
  <c r="G19" i="10" s="1"/>
  <c r="A189" i="1"/>
  <c r="A190" i="1" l="1"/>
  <c r="A191" i="1" s="1"/>
  <c r="A192" i="1" s="1"/>
  <c r="A193" i="1" s="1"/>
  <c r="A194" i="1" s="1"/>
  <c r="A195" i="1" s="1"/>
  <c r="F195" i="1" l="1"/>
  <c r="F201" i="1"/>
  <c r="A197" i="1"/>
  <c r="F213" i="1" l="1"/>
  <c r="G20" i="10" s="1"/>
  <c r="A200" i="1"/>
  <c r="A201" i="1" l="1"/>
  <c r="A202" i="1" s="1"/>
  <c r="A203" i="1" s="1"/>
  <c r="A204" i="1" s="1"/>
  <c r="F204" i="1" l="1"/>
  <c r="F209" i="1"/>
  <c r="G17" i="10" s="1"/>
  <c r="A207" i="1"/>
  <c r="F207" i="1"/>
  <c r="G15" i="10" s="1"/>
  <c r="F208" i="1"/>
  <c r="G16" i="10" s="1"/>
  <c r="A15" i="10" l="1"/>
  <c r="A208" i="1"/>
  <c r="A16" i="10" l="1"/>
  <c r="A209" i="1"/>
  <c r="A17" i="10" l="1"/>
  <c r="A212" i="1"/>
  <c r="A19" i="10" l="1"/>
  <c r="A213" i="1"/>
  <c r="F217" i="1"/>
  <c r="G23" i="10" s="1"/>
  <c r="H7" i="27"/>
  <c r="A20" i="10" l="1"/>
  <c r="A214" i="1"/>
  <c r="F218" i="1"/>
  <c r="G24" i="10" s="1"/>
  <c r="H48" i="11" l="1"/>
  <c r="H49" i="11" s="1"/>
  <c r="A21" i="10"/>
  <c r="A217" i="1"/>
  <c r="F219" i="1"/>
  <c r="G25" i="10" s="1"/>
  <c r="A23" i="10" l="1"/>
  <c r="A218" i="1"/>
  <c r="A24" i="10" l="1"/>
  <c r="A219" i="1"/>
  <c r="A25" i="10" l="1"/>
  <c r="A220" i="1"/>
  <c r="F220" i="1"/>
  <c r="A222" i="1" l="1"/>
  <c r="F222" i="1"/>
  <c r="G28" i="10" s="1"/>
  <c r="A26" i="10"/>
  <c r="A28" i="10" s="1"/>
  <c r="A33" i="10" s="1"/>
  <c r="A34" i="10" s="1"/>
  <c r="A35" i="10" s="1"/>
  <c r="A36" i="10" s="1"/>
  <c r="A37" i="10" s="1"/>
  <c r="A38" i="10" s="1"/>
  <c r="A41" i="10" s="1"/>
  <c r="G26" i="10"/>
  <c r="A44" i="10" l="1"/>
  <c r="A48" i="10" s="1"/>
  <c r="A50" i="10" s="1"/>
  <c r="G8" i="10" s="1"/>
  <c r="G44" i="10"/>
  <c r="F253" i="1"/>
  <c r="A227" i="1"/>
  <c r="A228" i="1" s="1"/>
  <c r="A260" i="8" l="1"/>
  <c r="A229" i="1"/>
  <c r="A230" i="1" s="1"/>
  <c r="A231" i="1" s="1"/>
  <c r="A234" i="1" l="1"/>
  <c r="F237" i="1"/>
  <c r="F235" i="1" l="1"/>
  <c r="A235" i="1"/>
  <c r="A158" i="8"/>
  <c r="A237" i="1" l="1"/>
  <c r="A241" i="1" l="1"/>
  <c r="A238" i="1"/>
  <c r="A239" i="1"/>
  <c r="F241" i="1" s="1"/>
  <c r="F254" i="1"/>
  <c r="A246" i="1"/>
  <c r="A247" i="1" s="1"/>
  <c r="A248" i="1" s="1"/>
  <c r="A250" i="1" s="1"/>
  <c r="A251" i="1" l="1"/>
  <c r="A252" i="1" s="1"/>
  <c r="A253" i="1" s="1"/>
  <c r="A254" i="1" s="1"/>
  <c r="A256" i="1" s="1"/>
  <c r="F256" i="1" l="1"/>
  <c r="A259" i="1"/>
  <c r="F263" i="1"/>
  <c r="A260" i="1" l="1"/>
  <c r="A261" i="1" s="1"/>
  <c r="H50" i="11" l="1"/>
  <c r="H51" i="11" s="1"/>
  <c r="F262" i="1"/>
  <c r="A262" i="1"/>
  <c r="F261" i="1"/>
  <c r="A263" i="1" l="1"/>
  <c r="F264" i="1"/>
  <c r="F272" i="1" l="1"/>
  <c r="A264" i="1"/>
  <c r="F279" i="1"/>
  <c r="D8" i="4" l="1"/>
  <c r="A267" i="1"/>
  <c r="A269" i="1" s="1"/>
  <c r="E37" i="27"/>
  <c r="H103" i="8" s="1"/>
  <c r="E30" i="27"/>
  <c r="E70" i="27"/>
  <c r="E29" i="27"/>
  <c r="E45" i="27"/>
  <c r="E41" i="27"/>
  <c r="E28" i="27"/>
  <c r="E24" i="27"/>
  <c r="E39" i="27"/>
  <c r="E27" i="27"/>
  <c r="E23" i="27"/>
  <c r="E73" i="27"/>
  <c r="H118" i="1" s="1"/>
  <c r="H28" i="27"/>
  <c r="H30" i="27"/>
  <c r="H24" i="27"/>
  <c r="H29" i="27"/>
  <c r="H31" i="27"/>
  <c r="H23" i="27"/>
  <c r="H27" i="27"/>
  <c r="H39" i="27"/>
  <c r="F286" i="1" l="1"/>
  <c r="A272" i="1"/>
  <c r="F269" i="1"/>
  <c r="H35" i="8"/>
  <c r="H44" i="8"/>
  <c r="H45" i="8"/>
  <c r="H61" i="8"/>
  <c r="H113" i="8"/>
  <c r="K118" i="1"/>
  <c r="L118" i="1" s="1"/>
  <c r="O118" i="1"/>
  <c r="P118" i="1" s="1"/>
  <c r="I223" i="8"/>
  <c r="H120" i="1"/>
  <c r="H37" i="27"/>
  <c r="H73" i="27"/>
  <c r="A273" i="1" l="1"/>
  <c r="A274" i="1" s="1"/>
  <c r="A275" i="1" s="1"/>
  <c r="F274" i="1"/>
  <c r="F275" i="1"/>
  <c r="F276" i="1"/>
  <c r="K120" i="1"/>
  <c r="L120" i="1" s="1"/>
  <c r="O120" i="1"/>
  <c r="P120" i="1" s="1"/>
  <c r="I224" i="8"/>
  <c r="H70" i="27"/>
  <c r="H134" i="1" l="1"/>
  <c r="K134" i="1" s="1"/>
  <c r="L134" i="1" s="1"/>
  <c r="A276" i="1"/>
  <c r="D9" i="11"/>
  <c r="C27" i="23"/>
  <c r="H260" i="1" s="1"/>
  <c r="H136" i="1" l="1"/>
  <c r="K136" i="1" s="1"/>
  <c r="L136" i="1" s="1"/>
  <c r="O134" i="1"/>
  <c r="P134" i="1" s="1"/>
  <c r="A279" i="1"/>
  <c r="D14" i="11"/>
  <c r="O260" i="1"/>
  <c r="P260" i="1" s="1"/>
  <c r="K260" i="1"/>
  <c r="L260" i="1" s="1"/>
  <c r="H261" i="1"/>
  <c r="O136" i="1" l="1"/>
  <c r="P136" i="1" s="1"/>
  <c r="A280" i="1"/>
  <c r="A281" i="1" s="1"/>
  <c r="H262" i="1"/>
  <c r="K261" i="1"/>
  <c r="L261" i="1" s="1"/>
  <c r="O261" i="1"/>
  <c r="P261" i="1" s="1"/>
  <c r="F281" i="1" l="1"/>
  <c r="A282" i="1"/>
  <c r="A283" i="1" s="1"/>
  <c r="A284" i="1" s="1"/>
  <c r="H52" i="11" l="1"/>
  <c r="H53" i="11" s="1"/>
  <c r="F283" i="1"/>
  <c r="F284" i="1"/>
  <c r="A286" i="1"/>
  <c r="D10" i="11"/>
  <c r="A287" i="1" l="1"/>
  <c r="A288" i="1" l="1"/>
  <c r="A289" i="1" s="1"/>
  <c r="A285" i="8"/>
  <c r="A286" i="8" l="1"/>
  <c r="A293" i="1" l="1"/>
  <c r="B47" i="7" s="1"/>
  <c r="A294" i="1" l="1"/>
  <c r="D23" i="4"/>
  <c r="F294" i="1"/>
  <c r="A296" i="1" l="1"/>
  <c r="F296" i="1"/>
  <c r="D49" i="27" l="1"/>
  <c r="H149" i="8" s="1"/>
  <c r="D69" i="27"/>
  <c r="D48" i="27"/>
  <c r="H145" i="8" s="1"/>
  <c r="D52" i="27"/>
  <c r="D19" i="27"/>
  <c r="D56" i="27"/>
  <c r="D58" i="27"/>
  <c r="D81" i="27"/>
  <c r="D33" i="27"/>
  <c r="D38" i="27"/>
  <c r="D18" i="27"/>
  <c r="H107" i="8" s="1"/>
  <c r="D54" i="27"/>
  <c r="D72" i="27"/>
  <c r="D21" i="27"/>
  <c r="D42" i="27"/>
  <c r="D16" i="27"/>
  <c r="D82" i="27"/>
  <c r="D65" i="27"/>
  <c r="D76" i="27"/>
  <c r="D74" i="27"/>
  <c r="D79" i="27"/>
  <c r="D55" i="27"/>
  <c r="D77" i="27"/>
  <c r="D61" i="27"/>
  <c r="D64" i="27"/>
  <c r="D62" i="27"/>
  <c r="D50" i="27"/>
  <c r="H141" i="8" s="1"/>
  <c r="D66" i="27"/>
  <c r="D53" i="27"/>
  <c r="D80" i="27"/>
  <c r="D57" i="27"/>
  <c r="D71" i="27"/>
  <c r="D75" i="27"/>
  <c r="D44" i="27"/>
  <c r="D59" i="27"/>
  <c r="E26" i="27"/>
  <c r="H19" i="8" s="1"/>
  <c r="H7" i="8"/>
  <c r="D34" i="27"/>
  <c r="D17" i="27"/>
  <c r="D67" i="27"/>
  <c r="D22" i="27"/>
  <c r="E25" i="27"/>
  <c r="D25" i="27"/>
  <c r="E36" i="27"/>
  <c r="H87" i="8" s="1"/>
  <c r="D36" i="27"/>
  <c r="H75" i="8" s="1"/>
  <c r="D78" i="27"/>
  <c r="D63" i="27"/>
  <c r="H25" i="27"/>
  <c r="H170" i="8" l="1"/>
  <c r="J170" i="8" s="1"/>
  <c r="D46" i="27"/>
  <c r="H36" i="27"/>
  <c r="H26" i="27"/>
  <c r="H54" i="11" l="1"/>
  <c r="H55" i="11" s="1"/>
  <c r="R23" i="13" l="1"/>
  <c r="N23" i="13"/>
  <c r="O23" i="13"/>
  <c r="S23" i="13"/>
  <c r="Q23" i="13"/>
  <c r="L23" i="13"/>
  <c r="P23" i="13"/>
  <c r="T23" i="13"/>
  <c r="W12" i="13"/>
  <c r="AJ32" i="13" s="1"/>
  <c r="AK32" i="13" s="1"/>
  <c r="AM32" i="13" s="1"/>
  <c r="AO32" i="13" s="1"/>
  <c r="W14" i="13"/>
  <c r="AJ34" i="13" s="1"/>
  <c r="AK34" i="13" s="1"/>
  <c r="AM34" i="13" s="1"/>
  <c r="AO34" i="13" s="1"/>
  <c r="W16" i="13"/>
  <c r="AJ36" i="13" s="1"/>
  <c r="AK36" i="13" s="1"/>
  <c r="AM36" i="13" s="1"/>
  <c r="AO36" i="13" s="1"/>
  <c r="W20" i="13"/>
  <c r="AJ40" i="13" s="1"/>
  <c r="AK40" i="13" s="1"/>
  <c r="AM40" i="13" s="1"/>
  <c r="AO40" i="13" s="1"/>
  <c r="W11" i="13"/>
  <c r="AJ31" i="13" s="1"/>
  <c r="W13" i="13"/>
  <c r="AJ33" i="13" s="1"/>
  <c r="AK33" i="13" s="1"/>
  <c r="AM33" i="13" s="1"/>
  <c r="AO33" i="13" s="1"/>
  <c r="W15" i="13"/>
  <c r="AJ35" i="13" s="1"/>
  <c r="AK35" i="13" s="1"/>
  <c r="AM35" i="13" s="1"/>
  <c r="AO35" i="13" s="1"/>
  <c r="W17" i="13"/>
  <c r="AJ37" i="13" s="1"/>
  <c r="AK37" i="13" s="1"/>
  <c r="AM37" i="13" s="1"/>
  <c r="AO37" i="13" s="1"/>
  <c r="U22" i="13"/>
  <c r="U23" i="13" s="1"/>
  <c r="W19" i="13"/>
  <c r="AJ39" i="13" s="1"/>
  <c r="AK39" i="13" s="1"/>
  <c r="AM39" i="13" s="1"/>
  <c r="AO39" i="13" s="1"/>
  <c r="W21" i="13"/>
  <c r="AJ41" i="13" s="1"/>
  <c r="AK41" i="13" s="1"/>
  <c r="AM41" i="13" s="1"/>
  <c r="AO41" i="13" s="1"/>
  <c r="AK31" i="13" l="1"/>
  <c r="AM31" i="13" s="1"/>
  <c r="AO31" i="13" s="1"/>
  <c r="W18" i="13"/>
  <c r="AJ38" i="13" s="1"/>
  <c r="AK38" i="13" s="1"/>
  <c r="AM38" i="13" s="1"/>
  <c r="AO38" i="13" s="1"/>
  <c r="I23" i="13"/>
  <c r="AJ30" i="13" l="1"/>
  <c r="AK30" i="13" l="1"/>
  <c r="AK42" i="13" s="1"/>
  <c r="AK43" i="13" s="1"/>
  <c r="AJ42" i="13"/>
  <c r="AJ43" i="13" s="1"/>
  <c r="M23" i="13"/>
  <c r="W22" i="13"/>
  <c r="W23" i="13" s="1"/>
  <c r="AM30" i="13" l="1"/>
  <c r="AO30" i="13" s="1"/>
  <c r="AO42" i="13" s="1"/>
  <c r="AM42" i="13" l="1"/>
  <c r="AM43" i="13" s="1"/>
  <c r="AO43" i="13"/>
  <c r="H293" i="1" s="1"/>
  <c r="F23" i="4" l="1"/>
  <c r="K293" i="1"/>
  <c r="L293" i="1" s="1"/>
  <c r="O293" i="1"/>
  <c r="P293" i="1" s="1"/>
  <c r="E32" i="9" l="1"/>
  <c r="G34" i="9"/>
  <c r="H43" i="9"/>
  <c r="F40" i="9"/>
  <c r="J42" i="9"/>
  <c r="K40" i="9"/>
  <c r="F37" i="9"/>
  <c r="K33" i="9"/>
  <c r="I34" i="9"/>
  <c r="J43" i="9"/>
  <c r="J37" i="9"/>
  <c r="H34" i="9"/>
  <c r="I43" i="9"/>
  <c r="F35" i="9"/>
  <c r="G38" i="9"/>
  <c r="J35" i="9"/>
  <c r="I33" i="9"/>
  <c r="I36" i="9"/>
  <c r="G33" i="9"/>
  <c r="H42" i="9"/>
  <c r="F43" i="9"/>
  <c r="F42" i="9"/>
  <c r="H39" i="9"/>
  <c r="F36" i="9"/>
  <c r="G35" i="9"/>
  <c r="K36" i="9"/>
  <c r="K35" i="9"/>
  <c r="J36" i="9"/>
  <c r="H36" i="9"/>
  <c r="H37" i="9"/>
  <c r="I40" i="9"/>
  <c r="G37" i="9"/>
  <c r="I37" i="9"/>
  <c r="F38" i="9"/>
  <c r="K38" i="9"/>
  <c r="I35" i="9"/>
  <c r="F34" i="9"/>
  <c r="G36" i="9"/>
  <c r="J34" i="9"/>
  <c r="J41" i="9"/>
  <c r="H38" i="9"/>
  <c r="G39" i="9"/>
  <c r="F39" i="9"/>
  <c r="F33" i="9"/>
  <c r="G42" i="9"/>
  <c r="H40" i="9"/>
  <c r="J39" i="9"/>
  <c r="J33" i="9"/>
  <c r="K42" i="9"/>
  <c r="I39" i="9"/>
  <c r="I41" i="9"/>
  <c r="G40" i="9"/>
  <c r="G43" i="9"/>
  <c r="F41" i="9"/>
  <c r="K37" i="9"/>
  <c r="J38" i="9"/>
  <c r="I38" i="9"/>
  <c r="K39" i="9"/>
  <c r="K34" i="9"/>
  <c r="K43" i="9"/>
  <c r="J40" i="9"/>
  <c r="H41" i="9"/>
  <c r="H35" i="9"/>
  <c r="G41" i="9"/>
  <c r="K41" i="9"/>
  <c r="H33" i="9"/>
  <c r="I42" i="9"/>
  <c r="E37" i="26" l="1"/>
  <c r="K32" i="9"/>
  <c r="K44" i="9" s="1"/>
  <c r="K37" i="26"/>
  <c r="E38" i="9"/>
  <c r="L38" i="9" s="1"/>
  <c r="L31" i="26"/>
  <c r="E37" i="9"/>
  <c r="L37" i="9" s="1"/>
  <c r="L30" i="26"/>
  <c r="E40" i="9"/>
  <c r="L40" i="9" s="1"/>
  <c r="L33" i="26"/>
  <c r="E34" i="9"/>
  <c r="L34" i="9" s="1"/>
  <c r="L27" i="26"/>
  <c r="E43" i="9"/>
  <c r="L43" i="9" s="1"/>
  <c r="L36" i="26"/>
  <c r="H32" i="9"/>
  <c r="H44" i="9" s="1"/>
  <c r="H37" i="26"/>
  <c r="J32" i="9"/>
  <c r="J44" i="9" s="1"/>
  <c r="J37" i="26"/>
  <c r="I32" i="9"/>
  <c r="I44" i="9" s="1"/>
  <c r="I37" i="26"/>
  <c r="E36" i="9"/>
  <c r="L36" i="9" s="1"/>
  <c r="L29" i="26"/>
  <c r="F32" i="9"/>
  <c r="F44" i="9" s="1"/>
  <c r="F37" i="26"/>
  <c r="E39" i="9"/>
  <c r="L39" i="9" s="1"/>
  <c r="L32" i="26"/>
  <c r="E33" i="9"/>
  <c r="L33" i="9" s="1"/>
  <c r="L26" i="26"/>
  <c r="L25" i="26"/>
  <c r="G32" i="9"/>
  <c r="G44" i="9" s="1"/>
  <c r="G37" i="26"/>
  <c r="E42" i="9"/>
  <c r="L42" i="9" s="1"/>
  <c r="L35" i="26"/>
  <c r="E35" i="9"/>
  <c r="L35" i="9" s="1"/>
  <c r="L28" i="26"/>
  <c r="E41" i="9"/>
  <c r="L41" i="9" s="1"/>
  <c r="L34" i="26"/>
  <c r="K192" i="29" l="1"/>
  <c r="H56" i="11"/>
  <c r="H57" i="11" s="1"/>
  <c r="L37" i="26"/>
  <c r="Q39" i="9"/>
  <c r="S39" i="9" s="1"/>
  <c r="S58" i="9"/>
  <c r="Q36" i="9"/>
  <c r="S36" i="9" s="1"/>
  <c r="S55" i="9"/>
  <c r="Q43" i="9"/>
  <c r="S43" i="9" s="1"/>
  <c r="S62" i="9"/>
  <c r="S59" i="9"/>
  <c r="Q40" i="9"/>
  <c r="S40" i="9" s="1"/>
  <c r="Q38" i="9"/>
  <c r="S38" i="9" s="1"/>
  <c r="S57" i="9"/>
  <c r="Q35" i="9"/>
  <c r="S35" i="9" s="1"/>
  <c r="S54" i="9"/>
  <c r="S60" i="9"/>
  <c r="Q41" i="9"/>
  <c r="S41" i="9" s="1"/>
  <c r="Q42" i="9"/>
  <c r="S42" i="9" s="1"/>
  <c r="S61" i="9"/>
  <c r="L32" i="9"/>
  <c r="Q32" i="9" s="1"/>
  <c r="E44" i="9"/>
  <c r="S52" i="9"/>
  <c r="Q33" i="9"/>
  <c r="S33" i="9" s="1"/>
  <c r="S53" i="9"/>
  <c r="Q34" i="9"/>
  <c r="S34" i="9" s="1"/>
  <c r="S56" i="9"/>
  <c r="Q37" i="9"/>
  <c r="S37" i="9" s="1"/>
  <c r="L192" i="29" l="1"/>
  <c r="K193" i="29"/>
  <c r="L44" i="9"/>
  <c r="S51" i="9"/>
  <c r="S63" i="9" s="1"/>
  <c r="K27" i="11" s="1"/>
  <c r="L193" i="29" l="1"/>
  <c r="K194" i="29"/>
  <c r="Q44" i="9"/>
  <c r="S32" i="9"/>
  <c r="S44" i="9" s="1"/>
  <c r="K26" i="11" s="1"/>
  <c r="K56" i="11" s="1"/>
  <c r="L70" i="11"/>
  <c r="L38" i="11"/>
  <c r="L42" i="11"/>
  <c r="L41" i="11"/>
  <c r="L50" i="11"/>
  <c r="L54" i="11"/>
  <c r="L58" i="11"/>
  <c r="L57" i="11"/>
  <c r="L61" i="11"/>
  <c r="L67" i="11"/>
  <c r="L36" i="11"/>
  <c r="L32" i="11"/>
  <c r="L40" i="11"/>
  <c r="L39" i="11"/>
  <c r="L43" i="11"/>
  <c r="L52" i="11"/>
  <c r="L56" i="11"/>
  <c r="L55" i="11"/>
  <c r="L64" i="11"/>
  <c r="L63" i="11"/>
  <c r="L69" i="11"/>
  <c r="L33" i="11"/>
  <c r="L31" i="11"/>
  <c r="L30" i="11"/>
  <c r="L44" i="11"/>
  <c r="L48" i="11"/>
  <c r="L47" i="11"/>
  <c r="L51" i="11"/>
  <c r="L60" i="11"/>
  <c r="L59" i="11"/>
  <c r="L68" i="11"/>
  <c r="L34" i="11"/>
  <c r="L35" i="11"/>
  <c r="L37" i="11"/>
  <c r="L46" i="11"/>
  <c r="L45" i="11"/>
  <c r="L49" i="11"/>
  <c r="L53" i="11"/>
  <c r="L62" i="11"/>
  <c r="L66" i="11"/>
  <c r="L65" i="11"/>
  <c r="C25" i="26"/>
  <c r="C32" i="9"/>
  <c r="P32" i="9" s="1"/>
  <c r="L194" i="29" l="1"/>
  <c r="K195" i="29"/>
  <c r="C32" i="26"/>
  <c r="C39" i="9"/>
  <c r="P39" i="9" s="1"/>
  <c r="R39" i="9" s="1"/>
  <c r="C35" i="26"/>
  <c r="C42" i="9"/>
  <c r="P42" i="9" s="1"/>
  <c r="R42" i="9" s="1"/>
  <c r="C33" i="26"/>
  <c r="C40" i="9"/>
  <c r="P40" i="9" s="1"/>
  <c r="R40" i="9" s="1"/>
  <c r="C31" i="26"/>
  <c r="C38" i="9"/>
  <c r="P38" i="9" s="1"/>
  <c r="R38" i="9" s="1"/>
  <c r="C34" i="26"/>
  <c r="C41" i="9"/>
  <c r="P41" i="9" s="1"/>
  <c r="R41" i="9" s="1"/>
  <c r="K58" i="11"/>
  <c r="K46" i="11"/>
  <c r="K53" i="11"/>
  <c r="K41" i="11"/>
  <c r="K36" i="11"/>
  <c r="K48" i="11"/>
  <c r="K30" i="11"/>
  <c r="K47" i="11"/>
  <c r="K64" i="11"/>
  <c r="K68" i="11"/>
  <c r="K69" i="11"/>
  <c r="K70" i="11"/>
  <c r="K50" i="11"/>
  <c r="K38" i="11"/>
  <c r="K45" i="11"/>
  <c r="K31" i="11"/>
  <c r="K52" i="11"/>
  <c r="K40" i="11"/>
  <c r="K51" i="11"/>
  <c r="K59" i="11"/>
  <c r="K63" i="11"/>
  <c r="K32" i="11"/>
  <c r="K49" i="11"/>
  <c r="K33" i="11"/>
  <c r="K54" i="11"/>
  <c r="K35" i="11"/>
  <c r="K44" i="11"/>
  <c r="K57" i="11"/>
  <c r="K66" i="11"/>
  <c r="K65" i="11"/>
  <c r="K42" i="11"/>
  <c r="K60" i="11"/>
  <c r="K37" i="11"/>
  <c r="K55" i="11"/>
  <c r="K39" i="11"/>
  <c r="K34" i="11"/>
  <c r="K43" i="11"/>
  <c r="K62" i="11"/>
  <c r="K61" i="11"/>
  <c r="K67" i="11"/>
  <c r="C30" i="26"/>
  <c r="C37" i="9"/>
  <c r="P37" i="9" s="1"/>
  <c r="R37" i="9" s="1"/>
  <c r="C35" i="9"/>
  <c r="P35" i="9" s="1"/>
  <c r="R35" i="9" s="1"/>
  <c r="C28" i="26"/>
  <c r="C26" i="26"/>
  <c r="C33" i="9"/>
  <c r="P33" i="9" s="1"/>
  <c r="R33" i="9" s="1"/>
  <c r="C29" i="26"/>
  <c r="C36" i="9"/>
  <c r="P36" i="9" s="1"/>
  <c r="R36" i="9" s="1"/>
  <c r="C34" i="9"/>
  <c r="P34" i="9" s="1"/>
  <c r="R34" i="9" s="1"/>
  <c r="C27" i="26"/>
  <c r="C36" i="26"/>
  <c r="C43" i="9"/>
  <c r="P43" i="9" s="1"/>
  <c r="R43" i="9" s="1"/>
  <c r="K196" i="29" l="1"/>
  <c r="L195" i="29"/>
  <c r="C37" i="26"/>
  <c r="C44" i="9"/>
  <c r="R32" i="9"/>
  <c r="R44" i="9" s="1"/>
  <c r="W46" i="9" s="1"/>
  <c r="H39" i="1" s="1"/>
  <c r="P44" i="9"/>
  <c r="L26" i="11"/>
  <c r="L196" i="29" l="1"/>
  <c r="K197" i="29"/>
  <c r="K39" i="1"/>
  <c r="L39" i="1" s="1"/>
  <c r="O39" i="1"/>
  <c r="P39" i="1" s="1"/>
  <c r="H40" i="1"/>
  <c r="L197" i="29" l="1"/>
  <c r="K198" i="29"/>
  <c r="H273" i="1"/>
  <c r="K40" i="1"/>
  <c r="L40" i="1" s="1"/>
  <c r="H282" i="1"/>
  <c r="O40" i="1"/>
  <c r="P40" i="1" s="1"/>
  <c r="L198" i="29" l="1"/>
  <c r="K199" i="29"/>
  <c r="K282" i="1"/>
  <c r="L282" i="1" s="1"/>
  <c r="O282" i="1"/>
  <c r="P282" i="1" s="1"/>
  <c r="K273" i="1"/>
  <c r="L273" i="1" s="1"/>
  <c r="O273" i="1"/>
  <c r="P273" i="1" s="1"/>
  <c r="L199" i="29" l="1"/>
  <c r="K200" i="29"/>
  <c r="E18" i="7"/>
  <c r="E20" i="7" s="1"/>
  <c r="L200" i="29" l="1"/>
  <c r="K201" i="29"/>
  <c r="F13" i="4"/>
  <c r="L201" i="29" l="1"/>
  <c r="K202" i="29"/>
  <c r="H286" i="8"/>
  <c r="F17" i="4" s="1"/>
  <c r="L202" i="29" l="1"/>
  <c r="K203" i="29"/>
  <c r="H289" i="1"/>
  <c r="O289" i="1" s="1"/>
  <c r="P289" i="1" s="1"/>
  <c r="L203" i="29" l="1"/>
  <c r="K204" i="29"/>
  <c r="M202" i="29"/>
  <c r="H58" i="11" s="1"/>
  <c r="H59" i="11" s="1"/>
  <c r="K289" i="1"/>
  <c r="L289" i="1" s="1"/>
  <c r="E50" i="27"/>
  <c r="H142" i="8" s="1"/>
  <c r="E75" i="27"/>
  <c r="E52" i="27"/>
  <c r="E61" i="27"/>
  <c r="E69" i="27"/>
  <c r="E76" i="27"/>
  <c r="E44" i="27"/>
  <c r="E53" i="27"/>
  <c r="E62" i="27"/>
  <c r="E77" i="27"/>
  <c r="E54" i="27"/>
  <c r="E63" i="27"/>
  <c r="E71" i="27"/>
  <c r="H122" i="1" s="1"/>
  <c r="E78" i="27"/>
  <c r="E59" i="27"/>
  <c r="E55" i="27"/>
  <c r="E64" i="27"/>
  <c r="E72" i="27"/>
  <c r="E79" i="27"/>
  <c r="E67" i="27"/>
  <c r="H278" i="8" s="1"/>
  <c r="J278" i="8" s="1"/>
  <c r="H114" i="1" s="1"/>
  <c r="E17" i="27"/>
  <c r="H158" i="8" s="1"/>
  <c r="E56" i="27"/>
  <c r="E65" i="27"/>
  <c r="E80" i="27"/>
  <c r="H12" i="1" s="1"/>
  <c r="E42" i="27"/>
  <c r="E48" i="27"/>
  <c r="H146" i="8" s="1"/>
  <c r="E57" i="27"/>
  <c r="E66" i="27"/>
  <c r="E82" i="27"/>
  <c r="H15" i="1" s="1"/>
  <c r="E43" i="27"/>
  <c r="E49" i="27"/>
  <c r="H150" i="8" s="1"/>
  <c r="E58" i="27"/>
  <c r="E74" i="27"/>
  <c r="E81" i="27"/>
  <c r="H14" i="1" s="1"/>
  <c r="D45" i="6"/>
  <c r="E21" i="27"/>
  <c r="E19" i="27"/>
  <c r="H57" i="27"/>
  <c r="H56" i="27"/>
  <c r="H17" i="27"/>
  <c r="H59" i="27"/>
  <c r="H52" i="27"/>
  <c r="H16" i="27"/>
  <c r="H71" i="27"/>
  <c r="H53" i="27"/>
  <c r="H58" i="27"/>
  <c r="H54" i="27"/>
  <c r="H55" i="27"/>
  <c r="H21" i="27"/>
  <c r="L204" i="29" l="1"/>
  <c r="K205" i="29"/>
  <c r="H39" i="8"/>
  <c r="O15" i="1"/>
  <c r="P15" i="1" s="1"/>
  <c r="K15" i="1"/>
  <c r="L15" i="1" s="1"/>
  <c r="H171" i="8"/>
  <c r="J171" i="8" s="1"/>
  <c r="D47" i="6"/>
  <c r="E38" i="27"/>
  <c r="E18" i="27"/>
  <c r="H307" i="8"/>
  <c r="H302" i="8"/>
  <c r="E10" i="2"/>
  <c r="H274" i="8"/>
  <c r="H16" i="1"/>
  <c r="K14" i="1"/>
  <c r="L14" i="1" s="1"/>
  <c r="O14" i="1"/>
  <c r="P14" i="1" s="1"/>
  <c r="E11" i="2"/>
  <c r="H275" i="8"/>
  <c r="K122" i="1"/>
  <c r="L122" i="1" s="1"/>
  <c r="O122" i="1"/>
  <c r="P122" i="1" s="1"/>
  <c r="H267" i="8"/>
  <c r="H272" i="8"/>
  <c r="E8" i="2"/>
  <c r="H270" i="8"/>
  <c r="H147" i="8"/>
  <c r="H91" i="1" s="1"/>
  <c r="H308" i="8"/>
  <c r="K114" i="1"/>
  <c r="L114" i="1" s="1"/>
  <c r="O114" i="1"/>
  <c r="P114" i="1" s="1"/>
  <c r="E46" i="27"/>
  <c r="H253" i="8"/>
  <c r="J253" i="8" s="1"/>
  <c r="H246" i="8"/>
  <c r="J246" i="8" s="1"/>
  <c r="H123" i="1"/>
  <c r="H303" i="8"/>
  <c r="H313" i="8"/>
  <c r="H312" i="8"/>
  <c r="H151" i="8"/>
  <c r="H94" i="1" s="1"/>
  <c r="O12" i="1"/>
  <c r="P12" i="1" s="1"/>
  <c r="K12" i="1"/>
  <c r="L12" i="1" s="1"/>
  <c r="H273" i="8"/>
  <c r="E9" i="2"/>
  <c r="E7" i="2"/>
  <c r="H271" i="8"/>
  <c r="H143" i="8"/>
  <c r="H88" i="1" s="1"/>
  <c r="H46" i="27"/>
  <c r="H49" i="27"/>
  <c r="H80" i="27"/>
  <c r="H50" i="27"/>
  <c r="H81" i="27"/>
  <c r="H18" i="27"/>
  <c r="H72" i="27"/>
  <c r="H48" i="27"/>
  <c r="H69" i="27"/>
  <c r="H82" i="27"/>
  <c r="H38" i="27"/>
  <c r="H19" i="27"/>
  <c r="L205" i="29" l="1"/>
  <c r="K206" i="29"/>
  <c r="J267" i="8"/>
  <c r="H112" i="1" s="1"/>
  <c r="K112" i="1" s="1"/>
  <c r="L112" i="1" s="1"/>
  <c r="H309" i="8"/>
  <c r="E12" i="2"/>
  <c r="E15" i="2" s="1"/>
  <c r="E22" i="2" s="1"/>
  <c r="K91" i="1"/>
  <c r="L91" i="1" s="1"/>
  <c r="O91" i="1"/>
  <c r="P91" i="1" s="1"/>
  <c r="H276" i="8"/>
  <c r="H108" i="8"/>
  <c r="O123" i="1"/>
  <c r="P123" i="1" s="1"/>
  <c r="K123" i="1"/>
  <c r="L123" i="1" s="1"/>
  <c r="H129" i="8"/>
  <c r="H18" i="1"/>
  <c r="K16" i="1"/>
  <c r="L16" i="1" s="1"/>
  <c r="O16" i="1"/>
  <c r="P16" i="1" s="1"/>
  <c r="K94" i="1"/>
  <c r="L94" i="1" s="1"/>
  <c r="O94" i="1"/>
  <c r="P94" i="1" s="1"/>
  <c r="H125" i="1"/>
  <c r="K88" i="1"/>
  <c r="O88" i="1"/>
  <c r="H314" i="8"/>
  <c r="H304" i="8"/>
  <c r="E22" i="27"/>
  <c r="E33" i="27"/>
  <c r="E34" i="27"/>
  <c r="H65" i="8" s="1"/>
  <c r="H79" i="27"/>
  <c r="H74" i="27"/>
  <c r="H75" i="27"/>
  <c r="H62" i="27"/>
  <c r="H76" i="27"/>
  <c r="H63" i="27"/>
  <c r="H65" i="27"/>
  <c r="H61" i="27"/>
  <c r="H22" i="27"/>
  <c r="H66" i="27"/>
  <c r="H78" i="27"/>
  <c r="H77" i="27"/>
  <c r="H64" i="27"/>
  <c r="H67" i="27"/>
  <c r="L206" i="29" l="1"/>
  <c r="K207" i="29"/>
  <c r="E23" i="2"/>
  <c r="E25" i="2" s="1"/>
  <c r="E28" i="2" s="1"/>
  <c r="O112" i="1"/>
  <c r="P112" i="1" s="1"/>
  <c r="H148" i="1"/>
  <c r="O148" i="1" s="1"/>
  <c r="P148" i="1" s="1"/>
  <c r="E21" i="2"/>
  <c r="H147" i="1"/>
  <c r="K147" i="1" s="1"/>
  <c r="L147" i="1" s="1"/>
  <c r="H145" i="1"/>
  <c r="K145" i="1" s="1"/>
  <c r="L145" i="1" s="1"/>
  <c r="K18" i="1"/>
  <c r="L18" i="1" s="1"/>
  <c r="H45" i="1"/>
  <c r="H46" i="1" s="1"/>
  <c r="H50" i="1" s="1"/>
  <c r="AE62" i="24"/>
  <c r="AE63" i="24" s="1"/>
  <c r="E19" i="6"/>
  <c r="F19" i="6" s="1"/>
  <c r="O18" i="1"/>
  <c r="P18" i="1" s="1"/>
  <c r="E35" i="7"/>
  <c r="E36" i="7" s="1"/>
  <c r="E11" i="7" s="1"/>
  <c r="E12" i="7" s="1"/>
  <c r="H150" i="1"/>
  <c r="H126" i="1"/>
  <c r="H127" i="1" s="1"/>
  <c r="H59" i="1"/>
  <c r="H60" i="1" s="1"/>
  <c r="H92" i="1"/>
  <c r="H93" i="1" s="1"/>
  <c r="I15" i="5"/>
  <c r="I16" i="5" s="1"/>
  <c r="I18" i="3" s="1"/>
  <c r="I15" i="3"/>
  <c r="I16" i="3" s="1"/>
  <c r="H89" i="1"/>
  <c r="L72" i="20"/>
  <c r="L73" i="20" s="1"/>
  <c r="K125" i="1"/>
  <c r="L125" i="1" s="1"/>
  <c r="O125" i="1"/>
  <c r="P125" i="1" s="1"/>
  <c r="J276" i="8"/>
  <c r="H113" i="1" s="1"/>
  <c r="H33" i="27"/>
  <c r="H40" i="8"/>
  <c r="K148" i="1" l="1"/>
  <c r="L148" i="1" s="1"/>
  <c r="E26" i="2"/>
  <c r="E29" i="2" s="1"/>
  <c r="O145" i="1"/>
  <c r="P145" i="1" s="1"/>
  <c r="K208" i="29"/>
  <c r="L207" i="29"/>
  <c r="O147" i="1"/>
  <c r="P147" i="1" s="1"/>
  <c r="H149" i="1"/>
  <c r="K149" i="1" s="1"/>
  <c r="L149" i="1" s="1"/>
  <c r="K127" i="1"/>
  <c r="L127" i="1" s="1"/>
  <c r="O127" i="1"/>
  <c r="P127" i="1" s="1"/>
  <c r="F12" i="4"/>
  <c r="F14" i="4" s="1"/>
  <c r="E22" i="7"/>
  <c r="H267" i="1" s="1"/>
  <c r="K89" i="1"/>
  <c r="L89" i="1" s="1"/>
  <c r="O89" i="1"/>
  <c r="P89" i="1" s="1"/>
  <c r="H90" i="1"/>
  <c r="O93" i="1"/>
  <c r="P93" i="1" s="1"/>
  <c r="K93" i="1"/>
  <c r="L93" i="1" s="1"/>
  <c r="O46" i="1"/>
  <c r="P46" i="1" s="1"/>
  <c r="K46" i="1"/>
  <c r="L46" i="1" s="1"/>
  <c r="K113" i="1"/>
  <c r="L113" i="1" s="1"/>
  <c r="O113" i="1"/>
  <c r="P113" i="1" s="1"/>
  <c r="H115" i="1"/>
  <c r="K60" i="1"/>
  <c r="L60" i="1" s="1"/>
  <c r="H62" i="1"/>
  <c r="H64" i="1" s="1"/>
  <c r="H32" i="1" s="1"/>
  <c r="O60" i="1"/>
  <c r="P60" i="1" s="1"/>
  <c r="L208" i="29" l="1"/>
  <c r="K209" i="29"/>
  <c r="H151" i="1"/>
  <c r="O149" i="1"/>
  <c r="P149" i="1" s="1"/>
  <c r="O151" i="1"/>
  <c r="P151" i="1" s="1"/>
  <c r="K50" i="1"/>
  <c r="L50" i="1" s="1"/>
  <c r="O50" i="1"/>
  <c r="P50" i="1" s="1"/>
  <c r="H29" i="1"/>
  <c r="K267" i="1"/>
  <c r="L267" i="1" s="1"/>
  <c r="O267" i="1"/>
  <c r="P267" i="1" s="1"/>
  <c r="K62" i="1"/>
  <c r="L62" i="1" s="1"/>
  <c r="O62" i="1"/>
  <c r="P62" i="1" s="1"/>
  <c r="K115" i="1"/>
  <c r="L115" i="1" s="1"/>
  <c r="O115" i="1"/>
  <c r="P115" i="1" s="1"/>
  <c r="H95" i="1"/>
  <c r="O90" i="1"/>
  <c r="K90" i="1"/>
  <c r="L90" i="1" s="1"/>
  <c r="L209" i="29" l="1"/>
  <c r="K210" i="29"/>
  <c r="H155" i="1"/>
  <c r="K151" i="1"/>
  <c r="L151" i="1" s="1"/>
  <c r="O95" i="1"/>
  <c r="P95" i="1" s="1"/>
  <c r="K95" i="1"/>
  <c r="L95" i="1" s="1"/>
  <c r="H30" i="1"/>
  <c r="K29" i="1"/>
  <c r="L29" i="1" s="1"/>
  <c r="O29" i="1"/>
  <c r="P29" i="1" s="1"/>
  <c r="K64" i="1"/>
  <c r="L64" i="1" s="1"/>
  <c r="H246" i="1"/>
  <c r="O64" i="1"/>
  <c r="P64" i="1" s="1"/>
  <c r="L210" i="29" l="1"/>
  <c r="K211" i="29"/>
  <c r="K155" i="1"/>
  <c r="L155" i="1" s="1"/>
  <c r="H251" i="1"/>
  <c r="O155" i="1"/>
  <c r="P155" i="1" s="1"/>
  <c r="O30" i="1"/>
  <c r="P30" i="1" s="1"/>
  <c r="K30" i="1"/>
  <c r="L30" i="1" s="1"/>
  <c r="AD62" i="24"/>
  <c r="AD63" i="24" s="1"/>
  <c r="AG63" i="24" s="1"/>
  <c r="AG65" i="24" s="1"/>
  <c r="H79" i="1" s="1"/>
  <c r="H137" i="1"/>
  <c r="H138" i="1" s="1"/>
  <c r="O32" i="1"/>
  <c r="P32" i="1" s="1"/>
  <c r="K32" i="1"/>
  <c r="L32" i="1" s="1"/>
  <c r="H33" i="1"/>
  <c r="O246" i="1"/>
  <c r="P246" i="1" s="1"/>
  <c r="K246" i="1"/>
  <c r="L246" i="1" s="1"/>
  <c r="L211" i="29" l="1"/>
  <c r="K212" i="29"/>
  <c r="K251" i="1"/>
  <c r="L251" i="1" s="1"/>
  <c r="O251" i="1"/>
  <c r="P251" i="1" s="1"/>
  <c r="H15" i="3"/>
  <c r="H16" i="3" s="1"/>
  <c r="J17" i="3" s="1"/>
  <c r="K33" i="1"/>
  <c r="L33" i="1" s="1"/>
  <c r="O33" i="1"/>
  <c r="P33" i="1" s="1"/>
  <c r="E25" i="6"/>
  <c r="F25" i="6" s="1"/>
  <c r="I158" i="8"/>
  <c r="J158" i="8" s="1"/>
  <c r="H234" i="1" s="1"/>
  <c r="K72" i="20"/>
  <c r="H15" i="5"/>
  <c r="H16" i="5" s="1"/>
  <c r="I164" i="8"/>
  <c r="J164" i="8" s="1"/>
  <c r="H76" i="1" s="1"/>
  <c r="E12" i="6"/>
  <c r="F12" i="6" s="1"/>
  <c r="K138" i="1"/>
  <c r="L138" i="1" s="1"/>
  <c r="O138" i="1"/>
  <c r="P138" i="1" s="1"/>
  <c r="H140" i="1"/>
  <c r="K79" i="1"/>
  <c r="L79" i="1" s="1"/>
  <c r="O79" i="1"/>
  <c r="P79" i="1" s="1"/>
  <c r="K73" i="20" l="1"/>
  <c r="H75" i="20" s="1"/>
  <c r="H82" i="1" s="1"/>
  <c r="L212" i="29"/>
  <c r="K213" i="29"/>
  <c r="F27" i="6"/>
  <c r="H159" i="1" s="1"/>
  <c r="H161" i="1" s="1"/>
  <c r="O76" i="1"/>
  <c r="P76" i="1" s="1"/>
  <c r="K76" i="1"/>
  <c r="L76" i="1" s="1"/>
  <c r="O140" i="1"/>
  <c r="P140" i="1" s="1"/>
  <c r="H98" i="1"/>
  <c r="K140" i="1"/>
  <c r="L140" i="1" s="1"/>
  <c r="H250" i="1"/>
  <c r="H18" i="3"/>
  <c r="J19" i="5"/>
  <c r="J18" i="3" s="1"/>
  <c r="J19" i="3" s="1"/>
  <c r="H69" i="1" s="1"/>
  <c r="H235" i="1"/>
  <c r="K234" i="1"/>
  <c r="L234" i="1" s="1"/>
  <c r="I41" i="10"/>
  <c r="I44" i="10" s="1"/>
  <c r="O234" i="1"/>
  <c r="P234" i="1" s="1"/>
  <c r="O82" i="1" l="1"/>
  <c r="P82" i="1" s="1"/>
  <c r="K82" i="1"/>
  <c r="L82" i="1" s="1"/>
  <c r="L213" i="29"/>
  <c r="K214" i="29"/>
  <c r="L214" i="29" s="1"/>
  <c r="O159" i="1"/>
  <c r="P159" i="1" s="1"/>
  <c r="K159" i="1"/>
  <c r="L159" i="1" s="1"/>
  <c r="K235" i="1"/>
  <c r="L235" i="1" s="1"/>
  <c r="O235" i="1"/>
  <c r="P235" i="1" s="1"/>
  <c r="K250" i="1"/>
  <c r="L250" i="1" s="1"/>
  <c r="O250" i="1"/>
  <c r="P250" i="1" s="1"/>
  <c r="K69" i="1"/>
  <c r="L69" i="1" s="1"/>
  <c r="O69" i="1"/>
  <c r="P69" i="1" s="1"/>
  <c r="H100" i="1"/>
  <c r="H105" i="1" s="1"/>
  <c r="H107" i="1" s="1"/>
  <c r="H222" i="1" s="1"/>
  <c r="H253" i="1" s="1"/>
  <c r="K98" i="1"/>
  <c r="L98" i="1" s="1"/>
  <c r="O98" i="1"/>
  <c r="P98" i="1" s="1"/>
  <c r="O161" i="1"/>
  <c r="P161" i="1" s="1"/>
  <c r="H252" i="1"/>
  <c r="K161" i="1"/>
  <c r="L161" i="1" s="1"/>
  <c r="M214" i="29" l="1"/>
  <c r="K100" i="1"/>
  <c r="O100" i="1"/>
  <c r="O252" i="1"/>
  <c r="P252" i="1" s="1"/>
  <c r="K252" i="1"/>
  <c r="L252" i="1" s="1"/>
  <c r="H60" i="11" l="1"/>
  <c r="H61" i="11" s="1"/>
  <c r="H26" i="11"/>
  <c r="H27" i="11" s="1"/>
  <c r="O105" i="1"/>
  <c r="P105" i="1" s="1"/>
  <c r="H247" i="1"/>
  <c r="K105" i="1"/>
  <c r="L105" i="1" s="1"/>
  <c r="K107" i="1" l="1"/>
  <c r="L107" i="1" s="1"/>
  <c r="O107" i="1"/>
  <c r="P107" i="1" s="1"/>
  <c r="I28" i="10"/>
  <c r="I48" i="10" s="1"/>
  <c r="I50" i="10" s="1"/>
  <c r="I8" i="10" s="1"/>
  <c r="H280" i="1" s="1"/>
  <c r="K247" i="1"/>
  <c r="L247" i="1" s="1"/>
  <c r="O247" i="1"/>
  <c r="P247" i="1" s="1"/>
  <c r="H248" i="1"/>
  <c r="K248" i="1" l="1"/>
  <c r="L248" i="1" s="1"/>
  <c r="O248" i="1"/>
  <c r="P248" i="1" s="1"/>
  <c r="K280" i="1"/>
  <c r="L280" i="1" s="1"/>
  <c r="O280" i="1"/>
  <c r="P280" i="1" s="1"/>
  <c r="H237" i="1"/>
  <c r="H241" i="1" s="1"/>
  <c r="O222" i="1"/>
  <c r="P222" i="1" s="1"/>
  <c r="K222" i="1"/>
  <c r="L222" i="1" s="1"/>
  <c r="K253" i="1" l="1"/>
  <c r="L253" i="1" s="1"/>
  <c r="O253" i="1"/>
  <c r="P253" i="1" s="1"/>
  <c r="K237" i="1"/>
  <c r="L237" i="1" s="1"/>
  <c r="O237" i="1"/>
  <c r="P237" i="1" s="1"/>
  <c r="K241" i="1" l="1"/>
  <c r="L241" i="1" s="1"/>
  <c r="O241" i="1"/>
  <c r="P241" i="1" s="1"/>
  <c r="H254" i="1"/>
  <c r="H256" i="1" l="1"/>
  <c r="O254" i="1"/>
  <c r="P254" i="1" s="1"/>
  <c r="K254" i="1"/>
  <c r="L254" i="1" s="1"/>
  <c r="K256" i="1" l="1"/>
  <c r="L256" i="1" s="1"/>
  <c r="O256" i="1"/>
  <c r="P256" i="1" s="1"/>
  <c r="H263" i="1"/>
  <c r="H279" i="1" l="1"/>
  <c r="O263" i="1"/>
  <c r="P263" i="1" s="1"/>
  <c r="H272" i="1"/>
  <c r="K263" i="1"/>
  <c r="L263" i="1" s="1"/>
  <c r="H264" i="1"/>
  <c r="K264" i="1" l="1"/>
  <c r="L264" i="1" s="1"/>
  <c r="F8" i="4"/>
  <c r="O264" i="1"/>
  <c r="P264" i="1" s="1"/>
  <c r="H269" i="1"/>
  <c r="H276" i="1"/>
  <c r="H275" i="1"/>
  <c r="K272" i="1"/>
  <c r="L272" i="1" s="1"/>
  <c r="H274" i="1"/>
  <c r="O272" i="1"/>
  <c r="P272" i="1" s="1"/>
  <c r="O279" i="1"/>
  <c r="P279" i="1" s="1"/>
  <c r="H281" i="1"/>
  <c r="K279" i="1"/>
  <c r="L279" i="1" s="1"/>
  <c r="O275" i="1" l="1"/>
  <c r="M9" i="11"/>
  <c r="K275" i="1"/>
  <c r="O274" i="1"/>
  <c r="K274" i="1"/>
  <c r="O276" i="1"/>
  <c r="K276" i="1"/>
  <c r="M14" i="11"/>
  <c r="O269" i="1"/>
  <c r="P269" i="1" s="1"/>
  <c r="K269" i="1"/>
  <c r="L269" i="1" s="1"/>
  <c r="H286" i="1"/>
  <c r="H283" i="1"/>
  <c r="K281" i="1"/>
  <c r="L281" i="1" s="1"/>
  <c r="O281" i="1"/>
  <c r="P281" i="1" s="1"/>
  <c r="H284" i="1"/>
  <c r="M10" i="11" s="1"/>
  <c r="M11" i="11" s="1"/>
  <c r="O286" i="1" l="1"/>
  <c r="P286" i="1" s="1"/>
  <c r="K286" i="1"/>
  <c r="L286" i="1" s="1"/>
  <c r="K24" i="11"/>
  <c r="N24" i="11"/>
  <c r="H24" i="11"/>
  <c r="E24" i="11"/>
  <c r="H25" i="11" l="1"/>
  <c r="J57" i="11" s="1"/>
  <c r="J56" i="11"/>
  <c r="J36" i="11"/>
  <c r="J30" i="11"/>
  <c r="J54" i="11"/>
  <c r="J46" i="11"/>
  <c r="J42" i="11"/>
  <c r="J44" i="11"/>
  <c r="J34" i="11"/>
  <c r="J64" i="11"/>
  <c r="J32" i="11"/>
  <c r="J48" i="11"/>
  <c r="J40" i="11"/>
  <c r="J58" i="11"/>
  <c r="J52" i="11"/>
  <c r="J50" i="11"/>
  <c r="J66" i="11"/>
  <c r="J62" i="11"/>
  <c r="J68" i="11"/>
  <c r="J38" i="11"/>
  <c r="J60" i="11"/>
  <c r="M62" i="11"/>
  <c r="M66" i="11"/>
  <c r="M68" i="11"/>
  <c r="M32" i="11"/>
  <c r="M58" i="11"/>
  <c r="M48" i="11"/>
  <c r="M64" i="11"/>
  <c r="M34" i="11"/>
  <c r="M42" i="11"/>
  <c r="M30" i="11"/>
  <c r="M40" i="11"/>
  <c r="M50" i="11"/>
  <c r="M46" i="11"/>
  <c r="M52" i="11"/>
  <c r="M60" i="11"/>
  <c r="M36" i="11"/>
  <c r="M38" i="11"/>
  <c r="M44" i="11"/>
  <c r="M56" i="11"/>
  <c r="M54" i="11"/>
  <c r="G34" i="11"/>
  <c r="G58" i="11"/>
  <c r="G30" i="11"/>
  <c r="G38" i="11"/>
  <c r="G46" i="11"/>
  <c r="G52" i="11"/>
  <c r="G54" i="11"/>
  <c r="G66" i="11"/>
  <c r="G60" i="11"/>
  <c r="G40" i="11"/>
  <c r="G44" i="11"/>
  <c r="G36" i="11"/>
  <c r="G42" i="11"/>
  <c r="G48" i="11"/>
  <c r="G62" i="11"/>
  <c r="G32" i="11"/>
  <c r="G64" i="11"/>
  <c r="G68" i="11"/>
  <c r="G50" i="11"/>
  <c r="G56" i="11"/>
  <c r="K25" i="11"/>
  <c r="E25" i="11"/>
  <c r="P68" i="11"/>
  <c r="P56" i="11"/>
  <c r="P38" i="11"/>
  <c r="P50" i="11"/>
  <c r="P36" i="11"/>
  <c r="P58" i="11"/>
  <c r="P54" i="11"/>
  <c r="P34" i="11"/>
  <c r="P60" i="11"/>
  <c r="P44" i="11"/>
  <c r="P64" i="11"/>
  <c r="P30" i="11"/>
  <c r="P52" i="11"/>
  <c r="P48" i="11"/>
  <c r="P32" i="11"/>
  <c r="P62" i="11"/>
  <c r="P66" i="11"/>
  <c r="P40" i="11"/>
  <c r="P46" i="11"/>
  <c r="P42" i="11"/>
  <c r="N25" i="11"/>
  <c r="J61" i="11" l="1"/>
  <c r="J69" i="11"/>
  <c r="J53" i="11"/>
  <c r="J43" i="11"/>
  <c r="J45" i="11"/>
  <c r="J47" i="11"/>
  <c r="J33" i="11"/>
  <c r="J59" i="11"/>
  <c r="J39" i="11"/>
  <c r="J55" i="11"/>
  <c r="J63" i="11"/>
  <c r="J49" i="11"/>
  <c r="J41" i="11"/>
  <c r="J31" i="11"/>
  <c r="J67" i="11"/>
  <c r="J35" i="11"/>
  <c r="J37" i="11"/>
  <c r="J65" i="11"/>
  <c r="J51" i="11"/>
  <c r="Q62" i="11"/>
  <c r="S62" i="11" s="1"/>
  <c r="Q64" i="11"/>
  <c r="S64" i="11" s="1"/>
  <c r="Q66" i="11"/>
  <c r="S66" i="11" s="1"/>
  <c r="Q34" i="11"/>
  <c r="S34" i="11" s="1"/>
  <c r="Q50" i="11"/>
  <c r="S50" i="11" s="1"/>
  <c r="Q44" i="11"/>
  <c r="S44" i="11" s="1"/>
  <c r="Q52" i="11"/>
  <c r="S52" i="11" s="1"/>
  <c r="Q42" i="11"/>
  <c r="S42" i="11" s="1"/>
  <c r="P35" i="11"/>
  <c r="P47" i="11"/>
  <c r="P57" i="11"/>
  <c r="P37" i="11"/>
  <c r="P33" i="11"/>
  <c r="P63" i="11"/>
  <c r="P49" i="11"/>
  <c r="P61" i="11"/>
  <c r="P45" i="11"/>
  <c r="P41" i="11"/>
  <c r="P31" i="11"/>
  <c r="P53" i="11"/>
  <c r="P65" i="11"/>
  <c r="P59" i="11"/>
  <c r="P39" i="11"/>
  <c r="P55" i="11"/>
  <c r="P51" i="11"/>
  <c r="P67" i="11"/>
  <c r="P69" i="11"/>
  <c r="P43" i="11"/>
  <c r="Q60" i="11"/>
  <c r="S60" i="11" s="1"/>
  <c r="Q58" i="11"/>
  <c r="S58" i="11" s="1"/>
  <c r="Q46" i="11"/>
  <c r="S46" i="11" s="1"/>
  <c r="Q56" i="11"/>
  <c r="S56" i="11" s="1"/>
  <c r="Q40" i="11"/>
  <c r="S40" i="11" s="1"/>
  <c r="Q54" i="11"/>
  <c r="S54" i="11" s="1"/>
  <c r="Q38" i="11"/>
  <c r="S38" i="11" s="1"/>
  <c r="Q48" i="11"/>
  <c r="S48" i="11" s="1"/>
  <c r="Q30" i="11"/>
  <c r="S30" i="11" s="1"/>
  <c r="G69" i="11"/>
  <c r="G51" i="11"/>
  <c r="G33" i="11"/>
  <c r="G35" i="11"/>
  <c r="G67" i="11"/>
  <c r="G63" i="11"/>
  <c r="G61" i="11"/>
  <c r="G37" i="11"/>
  <c r="G49" i="11"/>
  <c r="G57" i="11"/>
  <c r="G43" i="11"/>
  <c r="G31" i="11"/>
  <c r="G59" i="11"/>
  <c r="G45" i="11"/>
  <c r="G41" i="11"/>
  <c r="G65" i="11"/>
  <c r="G47" i="11"/>
  <c r="G53" i="11"/>
  <c r="G39" i="11"/>
  <c r="G55" i="11"/>
  <c r="M43" i="11"/>
  <c r="M37" i="11"/>
  <c r="M33" i="11"/>
  <c r="M45" i="11"/>
  <c r="M47" i="11"/>
  <c r="M51" i="11"/>
  <c r="M57" i="11"/>
  <c r="M67" i="11"/>
  <c r="M63" i="11"/>
  <c r="M41" i="11"/>
  <c r="M59" i="11"/>
  <c r="M61" i="11"/>
  <c r="M35" i="11"/>
  <c r="M39" i="11"/>
  <c r="M31" i="11"/>
  <c r="M69" i="11"/>
  <c r="M55" i="11"/>
  <c r="M53" i="11"/>
  <c r="M65" i="11"/>
  <c r="M49" i="11"/>
  <c r="Q68" i="11"/>
  <c r="S68" i="11" s="1"/>
  <c r="Q32" i="11"/>
  <c r="S32" i="11" s="1"/>
  <c r="Q36" i="11"/>
  <c r="S36" i="11" s="1"/>
  <c r="Q51" i="11" l="1"/>
  <c r="R51" i="11" s="1"/>
  <c r="T51" i="11" s="1"/>
  <c r="Q41" i="11"/>
  <c r="R41" i="11" s="1"/>
  <c r="T41" i="11" s="1"/>
  <c r="Q53" i="11"/>
  <c r="R53" i="11" s="1"/>
  <c r="T53" i="11" s="1"/>
  <c r="Q39" i="11"/>
  <c r="R39" i="11" s="1"/>
  <c r="T39" i="11" s="1"/>
  <c r="Q49" i="11"/>
  <c r="R49" i="11" s="1"/>
  <c r="T49" i="11" s="1"/>
  <c r="Q69" i="11"/>
  <c r="R69" i="11" s="1"/>
  <c r="T69" i="11" s="1"/>
  <c r="Q31" i="11"/>
  <c r="R31" i="11" s="1"/>
  <c r="T31" i="11" s="1"/>
  <c r="Q67" i="11"/>
  <c r="R67" i="11" s="1"/>
  <c r="T67" i="11" s="1"/>
  <c r="Q55" i="11"/>
  <c r="R55" i="11" s="1"/>
  <c r="T55" i="11" s="1"/>
  <c r="Q35" i="11"/>
  <c r="R35" i="11" s="1"/>
  <c r="T35" i="11" s="1"/>
  <c r="Q45" i="11"/>
  <c r="R45" i="11" s="1"/>
  <c r="T45" i="11" s="1"/>
  <c r="Q63" i="11"/>
  <c r="R63" i="11" s="1"/>
  <c r="T63" i="11" s="1"/>
  <c r="Q59" i="11"/>
  <c r="R59" i="11" s="1"/>
  <c r="T59" i="11" s="1"/>
  <c r="Q65" i="11"/>
  <c r="R65" i="11" s="1"/>
  <c r="T65" i="11" s="1"/>
  <c r="Q33" i="11"/>
  <c r="R33" i="11" s="1"/>
  <c r="T33" i="11" s="1"/>
  <c r="Q47" i="11"/>
  <c r="R47" i="11" s="1"/>
  <c r="T47" i="11" s="1"/>
  <c r="Q61" i="11"/>
  <c r="R61" i="11" s="1"/>
  <c r="T61" i="11" s="1"/>
  <c r="Q57" i="11"/>
  <c r="R57" i="11" s="1"/>
  <c r="T57" i="11" s="1"/>
  <c r="Q43" i="11"/>
  <c r="R43" i="11" s="1"/>
  <c r="T43" i="11" s="1"/>
  <c r="Q37" i="11"/>
  <c r="R37" i="11" s="1"/>
  <c r="T37" i="11" s="1"/>
  <c r="F19" i="4" l="1"/>
  <c r="F21" i="4" s="1"/>
  <c r="F28" i="4" s="1"/>
  <c r="H288" i="1"/>
  <c r="H290" i="1" s="1"/>
  <c r="F32" i="4" l="1"/>
  <c r="F37" i="4" s="1"/>
  <c r="F44" i="4" s="1"/>
  <c r="F30" i="4"/>
  <c r="K288" i="1"/>
  <c r="L288" i="1" s="1"/>
  <c r="H294" i="1"/>
  <c r="O288" i="1"/>
  <c r="P288" i="1" s="1"/>
  <c r="F39" i="4" l="1"/>
  <c r="F46" i="4" s="1"/>
  <c r="O290" i="1"/>
  <c r="P290" i="1" s="1"/>
  <c r="K290" i="1"/>
  <c r="L290" i="1" s="1"/>
  <c r="H296" i="1"/>
  <c r="K294" i="1"/>
  <c r="L294" i="1" s="1"/>
  <c r="O294" i="1"/>
  <c r="P294" i="1" s="1"/>
  <c r="O296" i="1" l="1"/>
  <c r="P296" i="1" s="1"/>
  <c r="K296" i="1"/>
  <c r="L29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Kwitman, Eva (PacifiCorp)</author>
  </authors>
  <commentList>
    <comment ref="W30" authorId="0" shapeId="0" xr:uid="{F87A383C-491F-4C10-B4E8-39EF76EA728E}">
      <text>
        <r>
          <rPr>
            <sz val="9"/>
            <color indexed="81"/>
            <rFont val="Tahoma"/>
            <family val="2"/>
          </rPr>
          <t xml:space="preserve">Ending balance for 2021 was not reflected correctly, but as it is classified as "other" it wont affect the formula rate itself.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Kwitman, Eva (PacifiCorp)</author>
  </authors>
  <commentList>
    <comment ref="J8" authorId="0" shapeId="0" xr:uid="{B4BC6336-6B42-4AF3-BDFA-9B1A37CECEEA}">
      <text>
        <r>
          <rPr>
            <sz val="9"/>
            <color indexed="81"/>
            <rFont val="Tahoma"/>
            <family val="2"/>
          </rPr>
          <t xml:space="preserve">The average life changed from 48 years to 65.5 years, updated starting CY 2024, next study 2027 or 2028 (effective date 1/1/2028 or 1/1/28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Kwitman, Eva (PacifiCorp)</author>
  </authors>
  <commentList>
    <comment ref="G5" authorId="0" shapeId="0" xr:uid="{1E49DAD8-CC33-460E-9712-B61074096638}">
      <text>
        <r>
          <rPr>
            <sz val="9"/>
            <color indexed="81"/>
            <rFont val="Tahoma"/>
            <family val="2"/>
          </rPr>
          <t>If this changes- then you also need to change formulas on tab "inputs"</t>
        </r>
      </text>
    </comment>
    <comment ref="I56" authorId="0" shapeId="0" xr:uid="{FFBE2F7F-29E5-4272-B800-CA8B5D19ED9E}">
      <text>
        <r>
          <rPr>
            <b/>
            <sz val="9"/>
            <color indexed="81"/>
            <rFont val="Tahoma"/>
            <family val="2"/>
          </rPr>
          <t>The revised total Administrative &amp; General (A&amp;G) expenses listed in FERC Form 1 as a footnote to page 320, to line 197,  is overstated by $33,182. In FERC Form 1, page 232, a footnote states that in regards line 35, Environment Costs, there is $33,182 worth of  Regulatory Asset Amortization charged to FERC 935. But in accordance with PacifiCorp's formula rate settlement agreement, section 3.4.2.9, regulatory assets should be excluded from the calculation of the wholesale transmission revenue requirement, unless approved by the commission. Therefore, the amount of $33,182 should not only had been listed as an adjustment to the formula rate input on FERC Form 1, page 232, but the amount should also had been reflected as an adjustment and excluded from the total A&amp;G on FERC Form 1, page 320, line 197, in the revised Administrative &amp; General expenses amount. This was captured appropriately in the formula rate update and the revised A&amp;G is correct as stated in the update, but the  total adjusted A&amp;G reflected in FERC Form 1 is overstated by $33,182.</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Kwitman, Eva (PacifiCorp)</author>
    <author>Kwitman, Eva</author>
  </authors>
  <commentList>
    <comment ref="D88" authorId="0" shapeId="0" xr:uid="{6C1237CE-04E3-49D8-9974-1C276D4C0097}">
      <text>
        <r>
          <rPr>
            <sz val="9"/>
            <color indexed="81"/>
            <rFont val="Tahoma"/>
            <family val="2"/>
          </rPr>
          <t>Kris Bremer confirmed on 1/30/2024 that this is $0</t>
        </r>
      </text>
    </comment>
    <comment ref="E88" authorId="0" shapeId="0" xr:uid="{D39D79FF-B073-4312-A9F7-1966F2F80CF6}">
      <text>
        <r>
          <rPr>
            <sz val="9"/>
            <color indexed="81"/>
            <rFont val="Tahoma"/>
            <family val="2"/>
          </rPr>
          <t>Kris Bremer confirmed on 1/7/2025 that this is $0</t>
        </r>
      </text>
    </comment>
    <comment ref="D91" authorId="0" shapeId="0" xr:uid="{768F449E-2057-4418-807B-3C54C829D0DC}">
      <text>
        <r>
          <rPr>
            <sz val="9"/>
            <color indexed="81"/>
            <rFont val="Tahoma"/>
            <family val="2"/>
          </rPr>
          <t>Brian Keyser confirmed 3/7/24</t>
        </r>
      </text>
    </comment>
    <comment ref="E91" authorId="0" shapeId="0" xr:uid="{FA8634C3-9275-4A11-9C4F-38583D636A28}">
      <text>
        <r>
          <rPr>
            <sz val="9"/>
            <color indexed="81"/>
            <rFont val="Tahoma"/>
            <family val="2"/>
          </rPr>
          <t>Deanna Fladstol confirmed 3/5/25</t>
        </r>
      </text>
    </comment>
    <comment ref="D92" authorId="0" shapeId="0" xr:uid="{D8536B5B-72F7-42D0-8C0A-F5E05B9C6DE0}">
      <text>
        <r>
          <rPr>
            <sz val="9"/>
            <color indexed="81"/>
            <rFont val="Tahoma"/>
            <family val="2"/>
          </rPr>
          <t>Brian Keyser confirmed 3/7/24</t>
        </r>
      </text>
    </comment>
    <comment ref="E92" authorId="0" shapeId="0" xr:uid="{BAD28ECC-BF1D-4A10-B41D-8144823F9034}">
      <text>
        <r>
          <rPr>
            <sz val="9"/>
            <color indexed="81"/>
            <rFont val="Tahoma"/>
            <family val="2"/>
          </rPr>
          <t>Deanna Fladstol confirmed 3/5/25</t>
        </r>
      </text>
    </comment>
    <comment ref="D93" authorId="0" shapeId="0" xr:uid="{4E13C80B-90D3-4225-909B-3D41FC2E78D6}">
      <text>
        <r>
          <rPr>
            <sz val="9"/>
            <color indexed="81"/>
            <rFont val="Tahoma"/>
            <family val="2"/>
          </rPr>
          <t>Brian Keyser confirmed 3/7/24</t>
        </r>
      </text>
    </comment>
    <comment ref="E93" authorId="0" shapeId="0" xr:uid="{6DA93F51-878F-4D9A-A910-9CAAF3FA9E00}">
      <text>
        <r>
          <rPr>
            <sz val="9"/>
            <color indexed="81"/>
            <rFont val="Tahoma"/>
            <family val="2"/>
          </rPr>
          <t>Deanna Fladstol confirmed 3/5/25</t>
        </r>
      </text>
    </comment>
    <comment ref="D99" authorId="0" shapeId="0" xr:uid="{86D9D8BE-5901-4143-BB8C-4D9FE84B56BC}">
      <text>
        <r>
          <rPr>
            <sz val="9"/>
            <color indexed="81"/>
            <rFont val="Tahoma"/>
            <family val="2"/>
          </rPr>
          <t>Checked GL 505962 &amp; 505964 for FERC 566
Ernie 3/1/2019: Tariff change- We no longer have imbalance penalties so no revenue and no expense.</t>
        </r>
      </text>
    </comment>
    <comment ref="E99" authorId="0" shapeId="0" xr:uid="{DC66136D-EBC4-4190-B161-2800460AC5A0}">
      <text>
        <r>
          <rPr>
            <sz val="9"/>
            <color indexed="81"/>
            <rFont val="Tahoma"/>
            <family val="2"/>
          </rPr>
          <t>Checked GL 505962 &amp; 505964 for FERC 566
Ernie 3/1/2019: Tariff change- We no longer have imbalance penalties so no revenue and no expense.</t>
        </r>
      </text>
    </comment>
    <comment ref="H99" authorId="1" shapeId="0" xr:uid="{00000000-0006-0000-1E00-00000E000000}">
      <text>
        <r>
          <rPr>
            <b/>
            <sz val="9"/>
            <color indexed="81"/>
            <rFont val="Tahoma"/>
            <family val="2"/>
          </rPr>
          <t>Kwitman, Eva:</t>
        </r>
        <r>
          <rPr>
            <sz val="9"/>
            <color indexed="81"/>
            <rFont val="Tahoma"/>
            <family val="2"/>
          </rPr>
          <t xml:space="preserve">
See 2015 UAMPS-DGT 2.19 for more details</t>
        </r>
      </text>
    </comment>
    <comment ref="H103" authorId="1" shapeId="0" xr:uid="{00000000-0006-0000-1E00-00000F000000}">
      <text>
        <r>
          <rPr>
            <sz val="9"/>
            <color indexed="81"/>
            <rFont val="Tahoma"/>
            <family val="2"/>
          </rPr>
          <t>Transmission assets related to the construction of wind plants. These are principally for the collector substations and Transmission lines from the collector subs to interconnection points. My understanding of why they are excluded is that they largely benefit PacifiCorp’s Generation plants and not the Transmission system as a whole. All of the assets  are wholly owned by PacifiCorp.</t>
        </r>
        <r>
          <rPr>
            <b/>
            <sz val="9"/>
            <color indexed="81"/>
            <rFont val="Tahoma"/>
            <family val="2"/>
          </rPr>
          <t xml:space="preserve">
</t>
        </r>
        <r>
          <rPr>
            <sz val="9"/>
            <color indexed="81"/>
            <rFont val="Tahoma"/>
            <family val="2"/>
          </rPr>
          <t xml:space="preserve">
</t>
        </r>
      </text>
    </comment>
  </commentList>
</comments>
</file>

<file path=xl/sharedStrings.xml><?xml version="1.0" encoding="utf-8"?>
<sst xmlns="http://schemas.openxmlformats.org/spreadsheetml/2006/main" count="6031" uniqueCount="2605">
  <si>
    <t>ATTACHMENT H-1</t>
  </si>
  <si>
    <t>.</t>
  </si>
  <si>
    <t>PacifiCorp</t>
  </si>
  <si>
    <t>Appendix A - Formula Rate</t>
  </si>
  <si>
    <t>Unprinted notes</t>
  </si>
  <si>
    <t>Shaded cells are inputs</t>
  </si>
  <si>
    <t>Notes</t>
  </si>
  <si>
    <r>
      <t xml:space="preserve">Reference </t>
    </r>
    <r>
      <rPr>
        <sz val="12"/>
        <rFont val="Arial"/>
        <family val="2"/>
      </rPr>
      <t>(FERC Form 1 reference, attachment, or instruction)</t>
    </r>
  </si>
  <si>
    <t>Absolute change</t>
  </si>
  <si>
    <t>Percent change</t>
  </si>
  <si>
    <r>
      <rPr>
        <b/>
        <sz val="10"/>
        <color rgb="FF0000FF"/>
        <rFont val="Garamond"/>
        <family val="1"/>
      </rPr>
      <t xml:space="preserve">&lt;-- </t>
    </r>
    <r>
      <rPr>
        <sz val="10"/>
        <color rgb="FF0000FF"/>
        <rFont val="Garamond"/>
        <family val="1"/>
      </rPr>
      <t>Form 1 data year</t>
    </r>
  </si>
  <si>
    <t>Projection</t>
  </si>
  <si>
    <r>
      <rPr>
        <b/>
        <sz val="10"/>
        <color rgb="FF0000FF"/>
        <rFont val="Garamond"/>
        <family val="1"/>
      </rPr>
      <t xml:space="preserve">&lt;&lt;-- </t>
    </r>
    <r>
      <rPr>
        <sz val="10"/>
        <color rgb="FF0000FF"/>
        <rFont val="Garamond"/>
        <family val="1"/>
      </rPr>
      <t>Toggle data</t>
    </r>
  </si>
  <si>
    <t>Allocators</t>
  </si>
  <si>
    <t>Wages &amp; Salary Allocation Factor</t>
  </si>
  <si>
    <t>Transmission Wages Expense</t>
  </si>
  <si>
    <t>354.21b</t>
  </si>
  <si>
    <t>Total Wages Expense</t>
  </si>
  <si>
    <t>354.28b</t>
  </si>
  <si>
    <t>Less A&amp;G Wages Expense</t>
  </si>
  <si>
    <t>354.27b</t>
  </si>
  <si>
    <t>Total Wages Less A&amp;G Wages Expense</t>
  </si>
  <si>
    <t>Wages &amp; Salary Allocator</t>
  </si>
  <si>
    <t>Plant Allocation Factors</t>
  </si>
  <si>
    <t>Electric Plant in Service</t>
  </si>
  <si>
    <t>Attachment 5</t>
  </si>
  <si>
    <t>Accumulated Depreciation (Total Electric Plant)</t>
  </si>
  <si>
    <t>Accumulated Amortization</t>
  </si>
  <si>
    <t>Total Accumulated Depreciation</t>
  </si>
  <si>
    <t>Net Plant</t>
  </si>
  <si>
    <t>Transmission Gross Plant (excluding Land Held for Future Use)</t>
  </si>
  <si>
    <t>Gross Plant Allocator</t>
  </si>
  <si>
    <t>Transmission Net Plant (excluding Land Held for Future Use)</t>
  </si>
  <si>
    <t>Net Plant Allocator</t>
  </si>
  <si>
    <t>Plant Calculations</t>
  </si>
  <si>
    <t>Plant In Service</t>
  </si>
  <si>
    <t>Transmission Plant In Service</t>
  </si>
  <si>
    <t>New Transmission Plant Additions for Current Calendar Year  (weighted by months in service)</t>
  </si>
  <si>
    <t>Attachment 6</t>
  </si>
  <si>
    <t>Total Transmission Plant</t>
  </si>
  <si>
    <t>General Plant</t>
  </si>
  <si>
    <t>Intangible Plant</t>
  </si>
  <si>
    <t>Total General and Intangible Plant</t>
  </si>
  <si>
    <t>Wage &amp; Salary Allocator</t>
  </si>
  <si>
    <t>General and Intangible Allocated to Transmission</t>
  </si>
  <si>
    <t>Land Held for Future Use</t>
  </si>
  <si>
    <t>Total Plant In Rate Base</t>
  </si>
  <si>
    <t>Accumulated Depreciation and Amortization</t>
  </si>
  <si>
    <t>Transmission Accumulated Depreciation</t>
  </si>
  <si>
    <t>Accumulated General Depreciation</t>
  </si>
  <si>
    <t xml:space="preserve">Accumulated General and Intangible Depreciation </t>
  </si>
  <si>
    <t>Subtotal General and Intangible Accum. Depreciation Allocated to Transmission</t>
  </si>
  <si>
    <t>Total Accumulated Depreciation and Amortization</t>
  </si>
  <si>
    <t>Total Net Property, Plant &amp; Equipment</t>
  </si>
  <si>
    <t>Adjustments To Rate Base</t>
  </si>
  <si>
    <t>Accumulated Deferred Income Taxes</t>
  </si>
  <si>
    <t>ADIT net of FASB 106 and 109</t>
  </si>
  <si>
    <t>Attachment 1A</t>
  </si>
  <si>
    <t xml:space="preserve">CWIP for Incentive Transmission Projects </t>
  </si>
  <si>
    <t xml:space="preserve">CWIP Balances for Current Rate Year  </t>
  </si>
  <si>
    <t>ITC Adjustment</t>
  </si>
  <si>
    <t>IRC 46(f)1 adjustment</t>
  </si>
  <si>
    <t>Unfunded Reserves</t>
  </si>
  <si>
    <t>Attachment 16</t>
  </si>
  <si>
    <t>Prepayments</t>
  </si>
  <si>
    <t>Attachment  11</t>
  </si>
  <si>
    <t>Abandoned Plant</t>
  </si>
  <si>
    <t xml:space="preserve">Unamortized Abandoned Plant </t>
  </si>
  <si>
    <t>Materials and Supplies</t>
  </si>
  <si>
    <t>Undistributed Stores Expense</t>
  </si>
  <si>
    <t>Total Undistributed Stores Expense Allocated to Transmission</t>
  </si>
  <si>
    <t>Construction Materials &amp; Supplies</t>
  </si>
  <si>
    <t>Construction Materials &amp; Supplies Allocated to Transmission</t>
  </si>
  <si>
    <t>Transmission Materials &amp; Supplies</t>
  </si>
  <si>
    <t>Total Materials &amp; Supplies Allocated to Transmission</t>
  </si>
  <si>
    <t>Cash Working Capital</t>
  </si>
  <si>
    <t>Operation &amp; Maintenance Expense</t>
  </si>
  <si>
    <t>1/8th Rule</t>
  </si>
  <si>
    <t xml:space="preserve">  Zero</t>
  </si>
  <si>
    <t>Total Cash Working Capital Allocated to Transmission</t>
  </si>
  <si>
    <t>Network Upgrade Balance</t>
  </si>
  <si>
    <t>Total Adjustment to Rate Base</t>
  </si>
  <si>
    <t>Rate Base</t>
  </si>
  <si>
    <t>Operations &amp; Maintenance Expense</t>
  </si>
  <si>
    <t>Transmission O&amp;M</t>
  </si>
  <si>
    <t xml:space="preserve">     Less: Cost of Providing Ancillary Services Accounts 561.0-5</t>
  </si>
  <si>
    <t xml:space="preserve">     Less: Account 565</t>
  </si>
  <si>
    <t>Allocated Administrative &amp; General Expenses</t>
  </si>
  <si>
    <t>Total A&amp;G</t>
  </si>
  <si>
    <t xml:space="preserve">    Less Actual PBOP Expense Adjustment</t>
  </si>
  <si>
    <t xml:space="preserve">    Less Property Insurance Account 924</t>
  </si>
  <si>
    <t xml:space="preserve">    Less Regulatory Asset Amortizations Account 930.2</t>
  </si>
  <si>
    <t xml:space="preserve">    Less Regulatory Commission Exp Account 928</t>
  </si>
  <si>
    <t xml:space="preserve">    Less General Advertising Exp Account 930.1</t>
  </si>
  <si>
    <t xml:space="preserve">    Less Membership Dues</t>
  </si>
  <si>
    <t>Administrative &amp; General Expenses</t>
  </si>
  <si>
    <t>Administrative &amp; General Expenses Allocated to Transmission</t>
  </si>
  <si>
    <t>Directly Assigned A&amp;G</t>
  </si>
  <si>
    <t>Regulatory Commission Exp Account 928</t>
  </si>
  <si>
    <t xml:space="preserve">General Advertising Exp Account 930.1 - Safety-related Advertising </t>
  </si>
  <si>
    <t>Subtotal - Accounts 928 and 930.1 - Transmission Related</t>
  </si>
  <si>
    <t>Property Insurance Account 924</t>
  </si>
  <si>
    <t xml:space="preserve">General Advertising Exp Account 930.1 - Education and Outreach </t>
  </si>
  <si>
    <t>Total Accounts 924 and 930.1 - General</t>
  </si>
  <si>
    <t>A&amp;G Directly Assigned to Transmission</t>
  </si>
  <si>
    <t>Total Transmission O&amp;M</t>
  </si>
  <si>
    <t>Depreciation &amp; Amortization Expense</t>
  </si>
  <si>
    <t>Depreciation Expense</t>
  </si>
  <si>
    <t>Transmission Depreciation Expense Including Amortization of Limited Term Plant</t>
  </si>
  <si>
    <t>General Depreciation Expense Including Amortization of Limited Term Plant</t>
  </si>
  <si>
    <t>Intangible Amortization</t>
  </si>
  <si>
    <t>Total</t>
  </si>
  <si>
    <t>General Depreciation and Intangible Amortization Functionalized to Transmission</t>
  </si>
  <si>
    <t>Abandoned Plant Amortization</t>
  </si>
  <si>
    <t>Total Transmission Depreciation &amp; Amortization</t>
  </si>
  <si>
    <t>Taxes Other Than Income</t>
  </si>
  <si>
    <t>Taxes Other than Income Taxes</t>
  </si>
  <si>
    <t>Attachment 2</t>
  </si>
  <si>
    <t>Total Taxes Other than Income Taxes</t>
  </si>
  <si>
    <t>Return \ Capitalization Calculations</t>
  </si>
  <si>
    <t>Long-Term Debt</t>
  </si>
  <si>
    <t>Account 221 Bonds</t>
  </si>
  <si>
    <t>Attachment 14</t>
  </si>
  <si>
    <t>Less Account 222 Reacquired Bonds</t>
  </si>
  <si>
    <t>Account 223 Long-term Advances from Associated Cos.</t>
  </si>
  <si>
    <t>Account 224 Other Long-term Debt</t>
  </si>
  <si>
    <t>Gross Proceeds Outstanding Long-term Debt</t>
  </si>
  <si>
    <t>Less Account 226 Unamortized Discount</t>
  </si>
  <si>
    <t>Less Account 181 Unamortized Debt Expense</t>
  </si>
  <si>
    <t>Less Account 189 Unamortized Loss on Reacquired Debt</t>
  </si>
  <si>
    <t>Plus Account 225 Unamortized Premium</t>
  </si>
  <si>
    <t>Plus Account 257 Unamortized Gain on Reacquired Debt</t>
  </si>
  <si>
    <t>Net Proceeds Long Term Debt</t>
  </si>
  <si>
    <t>Long Term Debt Cost</t>
  </si>
  <si>
    <t>Accounts 427 and 430 Long Term Interest Expense</t>
  </si>
  <si>
    <t>Less Hedging Expense</t>
  </si>
  <si>
    <t>Account 428 Amortized Debt Discount and Expense</t>
  </si>
  <si>
    <t>Account 428.1 Amortized Loss on Reacquired Debt</t>
  </si>
  <si>
    <t>Less Account 429 Amortized Premium</t>
  </si>
  <si>
    <t>Less Account 429.1 Amortized Gain on Reacquired Debt</t>
  </si>
  <si>
    <t>Total Long Term Debt Cost</t>
  </si>
  <si>
    <t>Preferred Stock and Dividend</t>
  </si>
  <si>
    <t>Account 204 Preferred Stock Issued</t>
  </si>
  <si>
    <t>Less Account 217 Reacquired Capital Stock (preferred)</t>
  </si>
  <si>
    <t>Account 207 Premium on Preferred Stock</t>
  </si>
  <si>
    <t>Account 207-208 Other Paid-In Capital (preferred)</t>
  </si>
  <si>
    <t>Less Account 213 Discount on Capital Stock (preferred)</t>
  </si>
  <si>
    <t>Less Account 214 Capital Stock Expense (preferred)</t>
  </si>
  <si>
    <t xml:space="preserve">Total Preferred Stock </t>
  </si>
  <si>
    <t>Preferred Dividend</t>
  </si>
  <si>
    <t>(Enter positive)</t>
  </si>
  <si>
    <t>Common Stock</t>
  </si>
  <si>
    <t>Proprietary Capital</t>
  </si>
  <si>
    <t>Less: Total Preferred Stock</t>
  </si>
  <si>
    <t>Less: Account 216.1 Unappropriated Undistributed Subsidiary Earnings</t>
  </si>
  <si>
    <t>Less: Account 219</t>
  </si>
  <si>
    <t>Total Common Stock</t>
  </si>
  <si>
    <t>Debt percent</t>
  </si>
  <si>
    <t>Total Long Term Debt</t>
  </si>
  <si>
    <t>Preferred percent</t>
  </si>
  <si>
    <t>Preferred Stock</t>
  </si>
  <si>
    <t>Common percent</t>
  </si>
  <si>
    <t>Debt Cost</t>
  </si>
  <si>
    <t>Long Term Debt Cost = 
Long Term Debt Cost / 
Net Proceeds Long Term Debt</t>
  </si>
  <si>
    <t>Preferred Cost</t>
  </si>
  <si>
    <t>Preferred Stock cost  =  Preferred Dividends / 
Total Preferred Stock</t>
  </si>
  <si>
    <t>Common Cost</t>
  </si>
  <si>
    <t>Fixed</t>
  </si>
  <si>
    <t>Weighted Cost of Debt</t>
  </si>
  <si>
    <t>Total Long Term Debt (WCLTD)</t>
  </si>
  <si>
    <t>Weighted Cost of Preferred</t>
  </si>
  <si>
    <t>Weighted Cost of Common</t>
  </si>
  <si>
    <t>Rate of Return on Rate Base ( ROR )</t>
  </si>
  <si>
    <t>Investment Return = Rate Base * Rate of Return</t>
  </si>
  <si>
    <t xml:space="preserve">Composite Income Taxes                                                                                                       </t>
  </si>
  <si>
    <t xml:space="preserve"> </t>
  </si>
  <si>
    <t>Income Tax Rates</t>
  </si>
  <si>
    <t>FIT = Federal Income Tax Rate</t>
  </si>
  <si>
    <t>SIT = State Income Tax Rate or Composite</t>
  </si>
  <si>
    <t>p</t>
  </si>
  <si>
    <t>(percent of federal income tax deductible for state purposes)</t>
  </si>
  <si>
    <t>Per state tax code</t>
  </si>
  <si>
    <t>T</t>
  </si>
  <si>
    <t>T = 1 - {[(1 - SIT) * (1 - FIT)] / (1 - SIT * FIT * p)} =</t>
  </si>
  <si>
    <t>T / (1-T)</t>
  </si>
  <si>
    <t>Amortized Investment Tax Credit - Transmission Related</t>
  </si>
  <si>
    <t>ITC Adjust. Allocated to Trans. - Grossed Up</t>
  </si>
  <si>
    <t>ITC Adjustment x 1 / (1-T)</t>
  </si>
  <si>
    <t xml:space="preserve">Income Tax Component = </t>
  </si>
  <si>
    <t>(T/1-T) * Investment Return * (1-(WCLTD/ROR)) =</t>
  </si>
  <si>
    <t>Total Income Taxes</t>
  </si>
  <si>
    <t>Revenue Requirement</t>
  </si>
  <si>
    <t>Summary</t>
  </si>
  <si>
    <t>Net Property, Plant &amp; Equipment</t>
  </si>
  <si>
    <t>Taxes Other than Income</t>
  </si>
  <si>
    <t>Investment Return</t>
  </si>
  <si>
    <t>Income Taxes</t>
  </si>
  <si>
    <t>Gross Revenue Requirement</t>
  </si>
  <si>
    <t>Adjustment to Remove Revenue Requirements Associated with Excluded Transmission Facilities</t>
  </si>
  <si>
    <t>Excluded Transmission Facilities</t>
  </si>
  <si>
    <t>Attachment 15</t>
  </si>
  <si>
    <t>Included Transmission Facilities</t>
  </si>
  <si>
    <t>Inclusion Ratio</t>
  </si>
  <si>
    <t>Adjusted Gross Revenue Requirement</t>
  </si>
  <si>
    <t>Revenue Credits</t>
  </si>
  <si>
    <t>Attachment 3</t>
  </si>
  <si>
    <t>Net Revenue Requirement</t>
  </si>
  <si>
    <t>Net Plant Carrying Charge</t>
  </si>
  <si>
    <t xml:space="preserve">Net Transmission Plant </t>
  </si>
  <si>
    <t xml:space="preserve">Net Plant Carrying Charge </t>
  </si>
  <si>
    <t>Net Plant Carrying Charge without Depreciation</t>
  </si>
  <si>
    <t>Net Plant Carrying Charge without Depreciation, Return, nor Income Taxes</t>
  </si>
  <si>
    <t>Net Plant Carrying Charge Calculation per 100 Basis Point increase in ROE</t>
  </si>
  <si>
    <t>Gross Revenue Requirement Less Return and Taxes</t>
  </si>
  <si>
    <t>Increased Return and Taxes</t>
  </si>
  <si>
    <t>Attachment 4</t>
  </si>
  <si>
    <t>Net Revenue Requirement per 100 Basis Point increase in ROE</t>
  </si>
  <si>
    <t>Net Plant Carrying Charge per 100 Basis Point increase in ROE</t>
  </si>
  <si>
    <t>Net Plant Carrying Charge per 100 Basis Point in ROE without Depreciation</t>
  </si>
  <si>
    <t xml:space="preserve">Facility Credits under Section 30.9 of the OATT </t>
  </si>
  <si>
    <t xml:space="preserve">Attachment 5 </t>
  </si>
  <si>
    <t>Transmission Incentive Credit</t>
  </si>
  <si>
    <t>Attachment 7</t>
  </si>
  <si>
    <t>Interest on Network Upgrade Facilities</t>
  </si>
  <si>
    <t>Net Zonal Revenue Requirement</t>
  </si>
  <si>
    <t>Network Service Rate</t>
  </si>
  <si>
    <t>12 CP Monthly Peak (MW)</t>
  </si>
  <si>
    <t>Attachment 9a/9b</t>
  </si>
  <si>
    <t>Rate ($/MW-year)</t>
  </si>
  <si>
    <r>
      <t xml:space="preserve">Network Service Rate </t>
    </r>
    <r>
      <rPr>
        <sz val="14"/>
        <rFont val="Arial"/>
        <family val="2"/>
      </rPr>
      <t>($/MW-year)</t>
    </r>
  </si>
  <si>
    <t>A</t>
  </si>
  <si>
    <t xml:space="preserve">with plant expected to be energized and placed in service (as defined by the Uniform System of Accounts) in that month.  The True-Up Adjustment will reflect the actual </t>
  </si>
  <si>
    <t xml:space="preserve">date the plant was energized and placed in service. </t>
  </si>
  <si>
    <t>B</t>
  </si>
  <si>
    <t xml:space="preserve">Includes Transmission portion only.  </t>
  </si>
  <si>
    <t>C</t>
  </si>
  <si>
    <t>D</t>
  </si>
  <si>
    <t>Includes all Regulatory Commission Expenses.</t>
  </si>
  <si>
    <t>E</t>
  </si>
  <si>
    <t>Includes Regulatory Commission Expenses directly related to transmission service.</t>
  </si>
  <si>
    <t>F</t>
  </si>
  <si>
    <t>Property Insurance excludes prior period adjustment in the first year of the formula's operation and reconciliation for the first year.</t>
  </si>
  <si>
    <t>G</t>
  </si>
  <si>
    <t>The calculation of the Reconciliation revenue requirement according to Step 7 of Attachment 6 ("Estimate and Reconciliation Worksheet") shall reflect the</t>
  </si>
  <si>
    <t xml:space="preserve">actual tax rates in effect for the Rate Year, as defined in Attachment H-2, being reconciled ("Test Year").  When statutory marginal tax rates change during such Test Year, </t>
  </si>
  <si>
    <t xml:space="preserve">the effective tax rates used in the formula shall be weighted by the number of days each such rate was in effect.  For example, a 35% rate in effect for 120 days superseded </t>
  </si>
  <si>
    <t>by a 40% rate in effect for the remainder of the year will be calculated as: ((.3500 x 120) + (.4000 x 245))/365 = .3836.</t>
  </si>
  <si>
    <t>H</t>
  </si>
  <si>
    <t>No change in ROE will be made absent a filing at FERC.</t>
  </si>
  <si>
    <t>PacifiCorp will include actual PBOP expense until changed as the result of a filing at FERC. PacifiCorp will include in the Annual Update Informational Filing its annual actuarial valuation report to support its actual PBOP expense.</t>
  </si>
  <si>
    <t xml:space="preserve">Depreciation rates shown in Attachment 8 are fixed until changed as the result of a filing at FERC. </t>
  </si>
  <si>
    <t>I</t>
  </si>
  <si>
    <t xml:space="preserve">The 12 CP monthly peak is the average of the 12 monthly system peaks calculated as the Network customers Monthly Network Load (Section 34.2 of the OATT) plus the </t>
  </si>
  <si>
    <t>reserve capacity of all long term firm point-to-point customers.</t>
  </si>
  <si>
    <t>J</t>
  </si>
  <si>
    <t>Amount of transmission plant excluded from rates per Attachment 15.</t>
  </si>
  <si>
    <t>K</t>
  </si>
  <si>
    <t>Adjustment reflects exclusion of tax receivables due to 2008 NOLs, which resulted in MidAmerican Energy Holdings Company delivering refund to PacifiCorp.</t>
  </si>
  <si>
    <t>L</t>
  </si>
  <si>
    <t xml:space="preserve">Any gain from the sale of land included in Land Held for Future Use in the Formula Rate received during the Rate Year, as defined in Attachment H-2,  </t>
  </si>
  <si>
    <t>shall be used to reduce the ATRR in the Rate Year.  The Formula Rate shall not include any losses on sales of such land.</t>
  </si>
  <si>
    <t>M</t>
  </si>
  <si>
    <t>The Update uses end of year balances and the True-up uses 13 monthly averages shown on Attachment 5.</t>
  </si>
  <si>
    <t>N</t>
  </si>
  <si>
    <t>The Update uses end of year balances and the True-up uses the average of beginning of year and end of year balances shown on Attachments.</t>
  </si>
  <si>
    <t>O</t>
  </si>
  <si>
    <t>Placeholder that is zero until PacifiCorp receives authorization by FERC to include amounts.</t>
  </si>
  <si>
    <t>P</t>
  </si>
  <si>
    <t>Projected capital additions will include only the capital costs associated with plant expected to be energized and placed in service (as defined by the Uniform System of Accounts) in that month.  The True-Up Adjustment will reflect the actual date the plant was energized and placed in service.</t>
  </si>
  <si>
    <t>Q</t>
  </si>
  <si>
    <t>The equity ratio is capped at 53%, and if the actual equity ratio exceeds 53%, then the debt ratio will be equal to 1 minus the preferred stock ratio minus 53%.</t>
  </si>
  <si>
    <t>R</t>
  </si>
  <si>
    <t>PacifiCorp will include only the gains and losses on interest rate locks for new debt issuances. Attachment 14 – Cost of Capital Detail will list the unamortized balance and annual amortization for all gains and losses on hedges.</t>
  </si>
  <si>
    <t>S</t>
  </si>
  <si>
    <t xml:space="preserve">PacifiCorp shall use FERC’s 1/8th method for cash working capital subject to the following limitations: </t>
  </si>
  <si>
    <t xml:space="preserve">(a) PacifiCorp shall be required to file a lead-lag study justifying the appropriate cash working capital allowance to be effective, subject to refund, as of June 1, 2014; provided, however, that if PacifiCorp does not file a study in the time required, the amount of cash working capital allowance includable in the calculation of the ATRR under the Formula shall be zero dollars ($0.00)  as of June 1, 2014, and shall remain at zero until such time as the Commission, in response to a PacifiCorp filing of a lead-lag study, authorizes a cash working capital allowance;  </t>
  </si>
  <si>
    <t xml:space="preserve">(b) PacifiCorp shall provide a draft to the other Parties of any such lead-lag study at least sixty (60) days prior to making any filing described in (a) with the Commission; and </t>
  </si>
  <si>
    <t>(c) Filing of the lead-lag study in (a) above, but not any subsequent filing affecting or relating to PacifiCorp’s cash working capital allowance as permitted in subsection (a) above, may be a single issue FPA Section 205 filing.</t>
  </si>
  <si>
    <t>These line items will include only the balances associated with long-term debt and shall exclude balances associated with short-term debt.</t>
  </si>
  <si>
    <t>Toggle list</t>
  </si>
  <si>
    <t>True-up</t>
  </si>
  <si>
    <t>Appendix B - Schedule 1: Scheduling, System Control and Dispatch Service</t>
  </si>
  <si>
    <r>
      <t>Calculated from historical data</t>
    </r>
    <r>
      <rPr>
        <sz val="10"/>
        <color rgb="FF0000FF"/>
        <rFont val="Calibri"/>
        <family val="2"/>
      </rPr>
      <t>—</t>
    </r>
    <r>
      <rPr>
        <sz val="10"/>
        <color rgb="FF0000FF"/>
        <rFont val="Arial"/>
        <family val="2"/>
      </rPr>
      <t>no true-up</t>
    </r>
  </si>
  <si>
    <t>Line</t>
  </si>
  <si>
    <t>Description</t>
  </si>
  <si>
    <t>FERC Form 1 page # / Reference</t>
  </si>
  <si>
    <t>Amount</t>
  </si>
  <si>
    <t>(561.1) Load Dispatch-Reliability</t>
  </si>
  <si>
    <t>(561.2) Load Dispatch-Monitor and Operate Transmission System</t>
  </si>
  <si>
    <t>(561.3) Load Dispatch-Transmission Service and Scheduling</t>
  </si>
  <si>
    <t>(561.4) Scheduling, System Control and Dispatch Services</t>
  </si>
  <si>
    <t>(561.5) Reliability, Planning and Standards Development</t>
  </si>
  <si>
    <t>Total 561 Costs for Schedule 1 Annual Revenue Requirement</t>
  </si>
  <si>
    <t>Schedule 1 Annual Revenue Requirement</t>
  </si>
  <si>
    <t>Schedule 1 - Rate Calculations</t>
  </si>
  <si>
    <t>Average 12-Month Demand - Current Year (kW)</t>
  </si>
  <si>
    <t>Divisor</t>
  </si>
  <si>
    <t>Rate in $/kW - Yearly</t>
  </si>
  <si>
    <t>Rate in $/kW - Monthly</t>
  </si>
  <si>
    <t>Rate in $/kW - Weekly</t>
  </si>
  <si>
    <t>Rate in $/kW - Daily On-Peak</t>
  </si>
  <si>
    <t>Rate in $/kW - Daily Off-Peak</t>
  </si>
  <si>
    <t>Rate in $/MW - Hourly On-Peak</t>
  </si>
  <si>
    <t>Rate in $/MW - Hourly Off-Peak</t>
  </si>
  <si>
    <t>OATT Transmission Rate Formula Template Using Form 1 Data</t>
  </si>
  <si>
    <t>Summary of Rates</t>
  </si>
  <si>
    <t xml:space="preserve">Line </t>
  </si>
  <si>
    <t>Reference</t>
  </si>
  <si>
    <t>Revenue Credits:</t>
  </si>
  <si>
    <t>Acct 454 - Allocable to Transmission</t>
  </si>
  <si>
    <t xml:space="preserve">Acct 456 - Allocable to Transmission </t>
  </si>
  <si>
    <t>Total Revenue Credits</t>
  </si>
  <si>
    <t>Interest on Network Upgrades</t>
  </si>
  <si>
    <t>Annual Transmission Revenue Requirement</t>
  </si>
  <si>
    <t>Divisor - 12 Month Average Transmission Peak (MW)</t>
  </si>
  <si>
    <t>Rates:</t>
  </si>
  <si>
    <t xml:space="preserve">Transmission Rate ($/kW-year) </t>
  </si>
  <si>
    <t xml:space="preserve">Transmission Rate ($/kW-month) </t>
  </si>
  <si>
    <t xml:space="preserve">Weekly Firm/Non-Firm Rate ($/kW-week) </t>
  </si>
  <si>
    <t>Daily Firm/Non-Firm Rates:</t>
  </si>
  <si>
    <t>On-Peak Days ($/kW)</t>
  </si>
  <si>
    <t>Off-Peak Days ($/kW)</t>
  </si>
  <si>
    <t>Non-Firm Hourly Rates:</t>
  </si>
  <si>
    <t>On-Peak Hours ($/MWh)</t>
  </si>
  <si>
    <t>Off-Peak Hours ($/MWh)</t>
  </si>
  <si>
    <t>Attachment 1 - Accumulated Deferred Income Taxes (ADIT) Worksheet</t>
  </si>
  <si>
    <t>Beginning of Current Year</t>
  </si>
  <si>
    <t>Total Company</t>
  </si>
  <si>
    <t>Gas, Prod., Dist., or Other</t>
  </si>
  <si>
    <t>Transmission Related</t>
  </si>
  <si>
    <t>Plant Related</t>
  </si>
  <si>
    <t>Labor Related</t>
  </si>
  <si>
    <t>Total Transmission ADIT</t>
  </si>
  <si>
    <t>(A)</t>
  </si>
  <si>
    <t>(B)</t>
  </si>
  <si>
    <t>(C)</t>
  </si>
  <si>
    <t>(D)</t>
  </si>
  <si>
    <t>(E)</t>
  </si>
  <si>
    <t>(F)</t>
  </si>
  <si>
    <t>ADIT-282</t>
  </si>
  <si>
    <t>Sch. 282 Below</t>
  </si>
  <si>
    <t>ADIT-281</t>
  </si>
  <si>
    <t>Sch. 281 Below</t>
  </si>
  <si>
    <t>ADIT-283</t>
  </si>
  <si>
    <t>Sch. 283 Below</t>
  </si>
  <si>
    <t>ADIT-190</t>
  </si>
  <si>
    <t>Sch. 190 Below</t>
  </si>
  <si>
    <t>Subtotal ADIT</t>
  </si>
  <si>
    <t>Sum (Lines 1 to 4)</t>
  </si>
  <si>
    <t>Allocator (100% Transmission; Net Plant; Wages &amp; Salary)</t>
  </si>
  <si>
    <t>Appendix A</t>
  </si>
  <si>
    <t>Sub-total Transmission Related ADIT</t>
  </si>
  <si>
    <t>Sum Cols. (C), (D), (E)</t>
  </si>
  <si>
    <t xml:space="preserve">Attachment 1a input --&gt; </t>
  </si>
  <si>
    <t>In filling out this attachment, a full and complete description of each item and justification for the allocation to Columns B-F and each separate ADIT item will be listed,</t>
  </si>
  <si>
    <t>dissimilar items with amounts exceeding $100,000 will be listed separately.</t>
  </si>
  <si>
    <t>Schedule ADIT-190</t>
  </si>
  <si>
    <t>Gas, Prod,</t>
  </si>
  <si>
    <t>Dist Or Other</t>
  </si>
  <si>
    <t>Transmission</t>
  </si>
  <si>
    <t xml:space="preserve">Plant </t>
  </si>
  <si>
    <t>Labor</t>
  </si>
  <si>
    <t>Form 1 Reference</t>
  </si>
  <si>
    <t>Company</t>
  </si>
  <si>
    <t>Related</t>
  </si>
  <si>
    <t>Justification</t>
  </si>
  <si>
    <t>Account 190</t>
  </si>
  <si>
    <t>Employee Benefits</t>
  </si>
  <si>
    <t>LTIP - non current</t>
  </si>
  <si>
    <t>Non-qualified deferred compensation plan under IRC Subsection 409A.</t>
  </si>
  <si>
    <t>Severance Accrual - Cash Basis</t>
  </si>
  <si>
    <t>Severance accruals related to regular employment downsizing. Amounts contained in these accounts represent accruals for both departing executives and rank and file employees.</t>
  </si>
  <si>
    <t>Accrued retiree payment obligations outside of the regular PacifiCorp retirement plan, most constituting payments made above the IRC Subsection 415 limitations.</t>
  </si>
  <si>
    <t>Vacation Accrual-Cash Basis (2.5 mos)</t>
  </si>
  <si>
    <t>Accruals recorded for book purposes for unused vacation and sick leave due to employees in future periods or upon termination.</t>
  </si>
  <si>
    <t>Accrued liability for worker's compensation benefits pursuant to FASB Statement No. 112.</t>
  </si>
  <si>
    <t>Western Coal Carr Ret Med Accrual</t>
  </si>
  <si>
    <t>FAS 158 SERP Liability</t>
  </si>
  <si>
    <t>Total Supplemental Executive Retirement Plan (SERP) obligations, as required by FAS 158.</t>
  </si>
  <si>
    <t>FAS 133 Derivatives:</t>
  </si>
  <si>
    <t>Unrealized derivative gains and losses under FASB Statement No. 133 which requires that certain financial instruments be valued at FMV for book purposes.</t>
  </si>
  <si>
    <t>NonCurr Liab - Frozen MTM</t>
  </si>
  <si>
    <t>Regulatory Liabilities:</t>
  </si>
  <si>
    <t>RL - Energy Savings Assistance (ESA) - CA</t>
  </si>
  <si>
    <t xml:space="preserve">Regulatory Liability established to record Energy Savings Assistance (ESA) Program activities (ESA collections from California offset by ESA program expenditures incurred) in a regulatory liability balancing account for California. </t>
  </si>
  <si>
    <t>RL - OR Direct Access 5 Yr Opt out</t>
  </si>
  <si>
    <t xml:space="preserve">Regulatory Liability established per Order No. 15-060 in Docket UE267, PacifiCorp is required to implement a 5 year customer opt-out plan. Customers that elect to go on the opt-out program and leave PacifiCorp's system will be required to pay an opt-out charge for up to 5 years. </t>
  </si>
  <si>
    <t>Regulatory liability used to record the Oregon allocation of injury and damage insurance recovered in excess of insurance claims incurred.</t>
  </si>
  <si>
    <t>Regulatory liability used to record the Oregon allocation of storm-related property damage recovered in excess of insurance claims incurred.</t>
  </si>
  <si>
    <t>Regulatory liability used to record the Idaho allocation of storm-related property damage recovered in excess of insurance claims incurred.</t>
  </si>
  <si>
    <t>Regulatory liability used to record the Utah allocation of storm-related property damage recovered in excess of insurances claims incurred.</t>
  </si>
  <si>
    <t>RL - Property Insurance Reserve - WY</t>
  </si>
  <si>
    <t>Regulatory liability used to record the Wyoming allocation of storm-related property damage recovered in excess of insurance claims incurred.</t>
  </si>
  <si>
    <t>RL ITC</t>
  </si>
  <si>
    <t>Income tax gross-up on unamortized Investment Tax Credits pursuant to IRC Subsection 46(f)(2).</t>
  </si>
  <si>
    <t>Reg Liability-Other - Balance Reclass</t>
  </si>
  <si>
    <t xml:space="preserve">Regulatory liability established to record the Oregon Energy Conservation Charge and related expenses which are predominantly remitted to the Energy Trust of Oregon (ETO) for energy efficiency programs.  </t>
  </si>
  <si>
    <t>OR Reg Asset/Liab Cons</t>
  </si>
  <si>
    <t>Regulatory liability established to consolidate small inactive Oregon specific regulatory balances, which are then amortized into book income per approved rate order or tariff.</t>
  </si>
  <si>
    <t>ARO Reg Liabilities</t>
  </si>
  <si>
    <t>Regulatory liability used to record the depreciation/accretion associated with FAS 143 asset retirement obligations.</t>
  </si>
  <si>
    <t xml:space="preserve">Regulatory asset/liability established for the Asset Retirement Obligation (ARO) Liability representing future reclamation costs associated with the decommissioning of the Trojan Nuclear Plant that are in excess of those approved for recovery by regulatory authorities.   </t>
  </si>
  <si>
    <t>RL - UT Home Energy LifeLine</t>
  </si>
  <si>
    <t>RL - WA Low Energy Program</t>
  </si>
  <si>
    <t>RL - Blue Sky Program OR</t>
  </si>
  <si>
    <t xml:space="preserve">Regulatory liability established to record revenues received from customers participating in the company's Blue Sky renewable energy program, which are then used to purchase renewable energy certificates. </t>
  </si>
  <si>
    <t>RL - Blue Sky Program WA</t>
  </si>
  <si>
    <t>RL - Blue Sky Program CA</t>
  </si>
  <si>
    <t>RL - Blue Sky Program UT</t>
  </si>
  <si>
    <t>RL - Blue Sky Program ID</t>
  </si>
  <si>
    <t>RL - Blue Sky Program WY</t>
  </si>
  <si>
    <t>Regulatory liability established to record revenues received from customers participating in the company's Blue Sky renewable energy program, which are then used to purchase renewable energy certificates.</t>
  </si>
  <si>
    <t xml:space="preserve"> State Carryforwards</t>
  </si>
  <si>
    <t>Charitable contribution carryforward for state income tax purposes.</t>
  </si>
  <si>
    <t>State net operating loss carryforward for income tax purposes.</t>
  </si>
  <si>
    <t>DTA Federal Detriment of State NOL</t>
  </si>
  <si>
    <t>Federal income benefit for the deduction state taxes associated with state net operating loss carryforward.</t>
  </si>
  <si>
    <t>DTA Idaho ITC Carryforward</t>
  </si>
  <si>
    <t>Idaho state income tax credit carryforward.</t>
  </si>
  <si>
    <t>DTA Colorado Tax Credit Carryforward</t>
  </si>
  <si>
    <t>Colorado state income tax credit carryforward.</t>
  </si>
  <si>
    <t>DTA CA AMT Credit Carryforward</t>
  </si>
  <si>
    <t>California state income tax credit carryforward.</t>
  </si>
  <si>
    <t>Loss Contingencies</t>
  </si>
  <si>
    <t>Asset Retirement Obligations</t>
  </si>
  <si>
    <t>FAS 143 ARO Liability</t>
  </si>
  <si>
    <t>Asset Retirement Obligation liability accrued pursuant to FASB Statement No. 143.</t>
  </si>
  <si>
    <t>Other Deferred Assets:</t>
  </si>
  <si>
    <t>Deferred Revenue - Other</t>
  </si>
  <si>
    <t>Advanced payments recognized for tax and not for book.</t>
  </si>
  <si>
    <t>Reserve against receivable due from joint owners.</t>
  </si>
  <si>
    <t>Accrued final reclamation expenditures for the Trapper mine.</t>
  </si>
  <si>
    <t>LTIP Mark to Mkt Gain/Loss</t>
  </si>
  <si>
    <t xml:space="preserve">To record unrealized gains/losses from the long term incentive plan. </t>
  </si>
  <si>
    <t>Accrued liabilities related to the purchase of the Chehalis plant not currently deductible for income tax purposes.</t>
  </si>
  <si>
    <t>Regulated environmental remediation costs required at various abandoned/closed mines and other work sites.</t>
  </si>
  <si>
    <t>Non-regulated environmental remediation costs required at various abandoned/closed mines and other work sites.</t>
  </si>
  <si>
    <t>- - - - -</t>
  </si>
  <si>
    <t xml:space="preserve">Valuation Allowance for DTA </t>
  </si>
  <si>
    <t>Rogue River-Habitat Enhance</t>
  </si>
  <si>
    <t>Accrued liability associated with the acceptance of the Rogue River (Prospects 1, 2, &amp; 4) FERC license, PacifiCorp is obligated to pay the Oregon Department of Fish and Wildlife $1,000,000, escalated, over a period of 9 years for habitat enhancement.</t>
  </si>
  <si>
    <t>Lewis River- LWD Fund Liab</t>
  </si>
  <si>
    <t>Accrued liability associated with the acceptance of the Lewis River FERC license for habitat enhancement.</t>
  </si>
  <si>
    <t>ERC Impairment Reserve</t>
  </si>
  <si>
    <t>ITC</t>
  </si>
  <si>
    <t>Unamortized Investment Tax Credits pursuant to IRC Subsection 46(f)(2).</t>
  </si>
  <si>
    <t>MCI F.O.G. Wire Lease</t>
  </si>
  <si>
    <t>Accrued liability for paid, but unearned lease revenue. The lease revenue is recognized ratably over the annual service agreement period.</t>
  </si>
  <si>
    <t>Accrued liability for refundable cash deposits received from customers who wish to reserve transmission line services.  These deposits are fully refundable.  The deposits are recognized as income when the service contract is fulfilled.</t>
  </si>
  <si>
    <t>Bad Debts Allowance - Cash Basis</t>
  </si>
  <si>
    <t xml:space="preserve">Accrued liability established to reserve for accounts receivable for which collection is not expected. </t>
  </si>
  <si>
    <t>Miscellaneous accrued liabilities related to PacifiCorp.</t>
  </si>
  <si>
    <t>Accrued liability for prepaid rents on company owned utility poles.</t>
  </si>
  <si>
    <t xml:space="preserve">Accrued liability associated with the acceptance of the North Umpqua FERC license for habitat enhancement. </t>
  </si>
  <si>
    <t>Bear River Settlement Agreement</t>
  </si>
  <si>
    <t>Accrued liability associated with the acceptance of the Bear River FERC license for various settlement obligations.</t>
  </si>
  <si>
    <t>M&amp;S Inventory Write-off</t>
  </si>
  <si>
    <t>Accrued liability for estimated obsolete or excess inventory that will be sold for scrap.</t>
  </si>
  <si>
    <t>Reverse Accrued Final Reclamation</t>
  </si>
  <si>
    <t>Accrued liability for various reclamation costs for the site reclamation of the closed mines.</t>
  </si>
  <si>
    <t>Accrued Royalties</t>
  </si>
  <si>
    <t xml:space="preserve">Accrued liability for royalty payments to the Mineral Management Service on coal production. </t>
  </si>
  <si>
    <t>Non-curr def fed tax cor ben of int</t>
  </si>
  <si>
    <t>Non-current federal benefit of interest on corrections.</t>
  </si>
  <si>
    <t>Non-curr def fed unc tax pos ben of int</t>
  </si>
  <si>
    <t>Non-current federal benefit of interest on uncertain positions.</t>
  </si>
  <si>
    <t>Non-curr def sta tax cor ben of int</t>
  </si>
  <si>
    <t>Non-current state benefit of interest on corrections.</t>
  </si>
  <si>
    <t>Non-curr def sta unc tax pos ben of int</t>
  </si>
  <si>
    <t>Non-current state benefit of interest on uncertain positions.</t>
  </si>
  <si>
    <t>Rounding</t>
  </si>
  <si>
    <t>Subtotal - p234</t>
  </si>
  <si>
    <t>Less FASB 109 Above if not separately removed</t>
  </si>
  <si>
    <t>Less FASB 106 Above if not separately removed</t>
  </si>
  <si>
    <t>Instructions for Account 190:</t>
  </si>
  <si>
    <t>1.  ADIT items related only to Non-Electric Operations (e.g., Gas, Water, Sewer) or Production are directly assigned to Column C</t>
  </si>
  <si>
    <t>2.  ADIT items related only to Transmission are directly assigned to Column D</t>
  </si>
  <si>
    <t>3.  ADIT items related to Plant and not in Columns C &amp; D are included in Column E</t>
  </si>
  <si>
    <t>4.  ADIT items related to labor and not in Columns C &amp; D are included in Column F</t>
  </si>
  <si>
    <t>5. Deferred income taxes arise when items are included in taxable income in different periods than they are included in rates, therefore if the item giving rise to the ADIT is not included in the formula, the associated ADIT amount shall be excluded.</t>
  </si>
  <si>
    <t>Attachment 1A - Accumulated Deferred Income Taxes (ADIT) Worksheet</t>
  </si>
  <si>
    <t>Schedule ADIT-281</t>
  </si>
  <si>
    <t>Account 281</t>
  </si>
  <si>
    <t>Electric:</t>
  </si>
  <si>
    <t>Accelerated Pollution Control Facilities Depreciation</t>
  </si>
  <si>
    <t>Depreciation on pollution control facilities.</t>
  </si>
  <si>
    <t>Instructions for Account 281:</t>
  </si>
  <si>
    <t>Schedule ADIT-282</t>
  </si>
  <si>
    <t>Account 282</t>
  </si>
  <si>
    <t>§1031 Exchange</t>
  </si>
  <si>
    <t>Book-tax difference for a taxable gain or loss that is deferred pursuant to Internal Revenue Code Section 1031, otherwise knows as a "like-kind exchange."</t>
  </si>
  <si>
    <t>§1031 &amp; 1033 Exchange Normalization Adjustment</t>
  </si>
  <si>
    <t>Exclusion of ADIT from §1031 &amp; 1033 Exchanges pursuant to the income tax normalization rules.</t>
  </si>
  <si>
    <t>Amortization NOPAs 99-00 RAR</t>
  </si>
  <si>
    <t>Book-tax difference for the capitalization and depreciation of legal fees associated with the re-licensing of specific hydro generation facilities.</t>
  </si>
  <si>
    <t>Regulatory liability related to removal costs.</t>
  </si>
  <si>
    <t xml:space="preserve">Avoided Costs </t>
  </si>
  <si>
    <t>Book-tax basis difference for the capitalization of interest for income tax purposes.</t>
  </si>
  <si>
    <t>Basis Intangible Difference</t>
  </si>
  <si>
    <t>Book-tax basis difference for the capitalization of interest for income tax purposes specifically related to hydro-relicensing costs transferred to plant-in-service.</t>
  </si>
  <si>
    <t>Book-tax difference related to different methods for computing deductible periodic depletion for book and tax purposes.</t>
  </si>
  <si>
    <t>Book Depreciation</t>
  </si>
  <si>
    <t>Book-tax difference for book depreciation.</t>
  </si>
  <si>
    <t>Book Fixed Asset Gain/Loss</t>
  </si>
  <si>
    <t>Capitalization of Test Energy</t>
  </si>
  <si>
    <t>Book-tax basis difference related to test energy revenues which are received/earned for power produced by generating plants during the construction period and sold or used by the utility.</t>
  </si>
  <si>
    <t>Capitalized Depreciation</t>
  </si>
  <si>
    <t>Book-tax basis difference for the capitalization of vehicle depreciation.</t>
  </si>
  <si>
    <t xml:space="preserve">Capitalized labor and benefit costs </t>
  </si>
  <si>
    <t>Book-tax basis difference related to the amount of labor costs capitalized to fixed assets.</t>
  </si>
  <si>
    <t>Capitalized labor costs - Medicare Subsidy</t>
  </si>
  <si>
    <t>Book-tax basis difference related to the amount of labor overhead costs capitalized to fixed assets.</t>
  </si>
  <si>
    <t>Direct Assignment: Transmission Fixed Assets</t>
  </si>
  <si>
    <t>PowerTax Report #257: Transmission Book Allocation Group.</t>
  </si>
  <si>
    <t>Direct Assignment: Intangible Fixed Assets</t>
  </si>
  <si>
    <t>PowerTax Report #257: Intangible Book Allocation Group.</t>
  </si>
  <si>
    <t>Direct Assignment: General Fixed Assets</t>
  </si>
  <si>
    <t>PowerTax Report #257: General Book Allocation Group.</t>
  </si>
  <si>
    <t>Contribution in Aid of Construction</t>
  </si>
  <si>
    <t>Book-tax basis difference related to contributions in aid of construction.</t>
  </si>
  <si>
    <t>Cost of Removal</t>
  </si>
  <si>
    <t>Book-tax difference for removal costs, which are applied to the depreciation/depreciation reserve for book purposes and are deductible for income tax purposes in the year paid and incurred.</t>
  </si>
  <si>
    <t>CWIP Reserve</t>
  </si>
  <si>
    <t>Debt AFUDC</t>
  </si>
  <si>
    <t>Book-tax basis difference related to the Allowance for Funds Used During Construction, which consists of a debt and equity component.  Equity is not capitalizable or deductible for income tax purposes, and the Internal Revenue Code requires a different formula related to the capitalization of interest on debt.</t>
  </si>
  <si>
    <t>Effects of Ratemaking - Fixed Assets Flowthrough</t>
  </si>
  <si>
    <t>Equity AFUDC</t>
  </si>
  <si>
    <t>Hydro Relicensing Obligation</t>
  </si>
  <si>
    <t>PacifiCorp accrues a liability for various stream enhancement obligations entered into for the new North Umpqua FERC license pursuant to Financial Accounting Standard 143.</t>
  </si>
  <si>
    <t>Tax Depreciation</t>
  </si>
  <si>
    <t>Book-tax difference for tax depreciation.</t>
  </si>
  <si>
    <t>Tax Fixed Asset Gain/Loss</t>
  </si>
  <si>
    <t>book-tax difference related to the disposition of capital assets.</t>
  </si>
  <si>
    <t>Fixed Assets - State Modifications</t>
  </si>
  <si>
    <t>Tax adjustment to account for the difference between federal and state depreciation methodologies; primarily resulting from states that have not adopted bonus depreciation.</t>
  </si>
  <si>
    <t>Mine Safety Sec. 179E Election</t>
  </si>
  <si>
    <t>Book-tax basis difference for qualified advanced mine safety equipment, 50% of which is deductible in the period paid and incurred for income tax purposes.</t>
  </si>
  <si>
    <t>Non-ARO Removal Costs</t>
  </si>
  <si>
    <t>R &amp; E - Sec.174 Deduction</t>
  </si>
  <si>
    <t>Book-tax difference for eligible costs under Internal Revenue Code Section 174 for internally developed software which are deductible in the period paid and incurred for income tax purposes.  These costs are capitalized for book purposes.</t>
  </si>
  <si>
    <t>RA- Solar ITC Basis Adj. - Fixed Assets</t>
  </si>
  <si>
    <t>PacifiCorp installed solar arrays. The projects are qualified for the 30% solar investment tax credit (ITC). The tax basis of the solar arrays needs to be reduced by one-half of the solar ITC, therefore creating basis differences between book basis and tax basis for the solar arrays.</t>
  </si>
  <si>
    <t>Reclass to §1031 &amp; 1033 Exchange Normalization Adj - General Fixed Assets</t>
  </si>
  <si>
    <t>Reclass to separately state the exclusion of ADIT from §1031 &amp; 1033 Exchanges pursuant to the income tax normalization rules.</t>
  </si>
  <si>
    <t>Reclass to §1031 &amp;1033 Exchange Normalization Adj - Transmission</t>
  </si>
  <si>
    <t>Reclass to Pollution Control Facilities Depreciation</t>
  </si>
  <si>
    <t>Reclassification of pollution controls facilities depreciation from FERC account 282 to FERC account 281.</t>
  </si>
  <si>
    <t>Reimbursements</t>
  </si>
  <si>
    <t>Book-tax basis difference related to relocation reimbursements, which depending on whether or not the benefit of the relocation is for the benefit of the general public may or may not be taxable and depreciable for income tax purposes.</t>
  </si>
  <si>
    <t>Repairs Deduction</t>
  </si>
  <si>
    <t>Book-tax basis difference for expenditures which are capitalized and depreciation for book purposes and for income tax  purposes are deductible in the period they are paid and incurred.</t>
  </si>
  <si>
    <t>RL - Non-ARO Liability</t>
  </si>
  <si>
    <t>Sec. 481a Adjustment - Repair Deduction</t>
  </si>
  <si>
    <t>Book-tax difference related to a one-time adjustment required by the Internal Revenue Code for a change in accounting method for income tax purposes.  In 2008, PacifiCorp changed its method of accounting for income tax purposes for certain expenditures which were previously being capitalized and depreciated.  Under the new method of accounting, the expenditures are deductible for income tax purposes in the period they are paid and incurred.</t>
  </si>
  <si>
    <t>Solar ITC Basis Adjustment</t>
  </si>
  <si>
    <t xml:space="preserve"> The projects are qualified for the 30% solar investment tax credit (ITC). The tax basis of the solar arrays needs to be reduced by one-half of the solar ITC, therefore creating basis differences between book basis and tax basis for the solar arrays.</t>
  </si>
  <si>
    <t>Tax Depletion-SRC</t>
  </si>
  <si>
    <t xml:space="preserve">Subtotal - p275  </t>
  </si>
  <si>
    <t>Instructions for Account 282:</t>
  </si>
  <si>
    <t>Schedule ADIT-283</t>
  </si>
  <si>
    <t>Account 283</t>
  </si>
  <si>
    <t>FERC 283 - Regulatory Assets</t>
  </si>
  <si>
    <t>Contra RA -  Deer Creek Abandonment</t>
  </si>
  <si>
    <t xml:space="preserve"> Regulatory asset used to record a contra regulatory asset for Deer Creek abandonment.</t>
  </si>
  <si>
    <t>Contra RA -  Deer Creek Abandonment - CA</t>
  </si>
  <si>
    <t xml:space="preserve"> Regulatory asset to record CA contra regulatory asset for Deer Creek abandonment.</t>
  </si>
  <si>
    <t>Contra RA -  Deer Creek Abandonment - ID</t>
  </si>
  <si>
    <t xml:space="preserve"> Regulatory asset to record ID contra regulatory asset for Deer Creek abandonment.</t>
  </si>
  <si>
    <t>Contra RA -  Deer Creek Abandonment - OR</t>
  </si>
  <si>
    <t xml:space="preserve"> Regulatory asset to record OR contra regulatory asset for Deer Creek abandonment.</t>
  </si>
  <si>
    <t>Contra RA -  Deer Creek Abandonment - WA</t>
  </si>
  <si>
    <t xml:space="preserve"> Regulatory asset to record WA contra regulatory asset for Deer Creek abandonment.</t>
  </si>
  <si>
    <t>Contra RA -  Deer Creek Abandonment - WY</t>
  </si>
  <si>
    <t xml:space="preserve"> Regulatory asset to record WY contra regulatory asset for Deer Creek abandonment.</t>
  </si>
  <si>
    <t>Contra RA - UMWA Pension</t>
  </si>
  <si>
    <t xml:space="preserve">Contra regulatory asset for all the recovery (amortization) and other adjustments to the UMWA pension trust withdrawal obligation regulatory asset included in the Deer Creek Mine disposition. </t>
  </si>
  <si>
    <t>Contra RA - UMWA Pension - WA</t>
  </si>
  <si>
    <t xml:space="preserve">Contra regulatory asset for all the WA related recovery (amortization) and other adjustments to the UMWA pension trust withdrawal obligation regulatory asset included in the Deer Creek Mine disposition. </t>
  </si>
  <si>
    <t>RA - ARO</t>
  </si>
  <si>
    <t>Regulatory asset used to record the depreciation/accretion associated with FAS 143 asset retirement obligations.</t>
  </si>
  <si>
    <t>RA - BPA Balancing Account - OR</t>
  </si>
  <si>
    <t>RA - CA Mobile Home Park Conversion</t>
  </si>
  <si>
    <t xml:space="preserve">Balancing account to record the program costs for the conversion of master metered mobile home parks to direct utility service. </t>
  </si>
  <si>
    <t xml:space="preserve">RA - Carbon Plant Decomm/Inventory </t>
  </si>
  <si>
    <t>Regulatory asset established to record the deferral of Carbon Plant's write off and sales proceeds of inventory from decommissioning.</t>
  </si>
  <si>
    <t>RA - Deferred Excess NPC - CA - Noncurrent</t>
  </si>
  <si>
    <t>RA - Deferred Excess NPC - ID - Noncurrent</t>
  </si>
  <si>
    <t>RA - Deferred Excess NPC - UT - Noncurrent</t>
  </si>
  <si>
    <t>RA - Deferred Excess NPC - WY '09 &amp; After - Noncurrent</t>
  </si>
  <si>
    <t>RA - Deferred Independent Evaluator Fee - UT</t>
  </si>
  <si>
    <t>Regulatory asset established for the Utah allocated share of evaluator fees and costs related to a request for proposal for new generation.</t>
  </si>
  <si>
    <t>RA - Deferred Intervenor Funding Grants - CA</t>
  </si>
  <si>
    <t>RA - Deferred Intervenor Funding Grants - OR</t>
  </si>
  <si>
    <t>RA - Deferred Overburden Costs - ID</t>
  </si>
  <si>
    <t>Regulatory asset established for the Idaho allocated portion of overburden costs pursuant to a regulatory order.</t>
  </si>
  <si>
    <t>RA - Deferred Overburden Costs - WY</t>
  </si>
  <si>
    <t>Regulatory asset established for the Wyoming allocated portion of overburden costs pursuant to a regulatory order.</t>
  </si>
  <si>
    <t>RA - Demand Side Management - Noncurrent</t>
  </si>
  <si>
    <t xml:space="preserve">Regulatory asset established to record costs incurred for demand side management which are amortized according to guidelines established by each state regulatory jurisdiction.                                                                                                                                                                                   
</t>
  </si>
  <si>
    <t>RA - Depreciation Increase - Idaho</t>
  </si>
  <si>
    <t>RA - Depreciation Increase - Utah</t>
  </si>
  <si>
    <t xml:space="preserve"> Regulatory asset  established to record Utah's share of the deferral of increased depreciation due to the implementation of new rates on January 1, 2014.</t>
  </si>
  <si>
    <t>RA - Depreciation Increase - Wyoming</t>
  </si>
  <si>
    <t>Regulatory asset  established to record Wyoming's share of the deferral of increased depreciation due to the implementation of new rates on January 1, 2014.</t>
  </si>
  <si>
    <t>RA - DSM Balance Reclass</t>
  </si>
  <si>
    <t>RA - Energy West Mining</t>
  </si>
  <si>
    <t>RA - Environmental Costs</t>
  </si>
  <si>
    <t>Regulatory asset established to record costs incurred for environmental clean-up, which are amortized over a ten-year period for state regulatory purposes.</t>
  </si>
  <si>
    <t>RA - Environmental Costs - WA</t>
  </si>
  <si>
    <t>Regulatory liability established for the portion of environmental remediation costs for which the state of Washington does not allow deferred treatment.</t>
  </si>
  <si>
    <t>RA - FAS 158 Pension Liability</t>
  </si>
  <si>
    <t>Regulatory asset established to track the recoverable expenses associated with pension liability.</t>
  </si>
  <si>
    <t>RA - Goodnoe Hills Settlement - WY</t>
  </si>
  <si>
    <t>Regulatory asset for the Wyoming allocated portion of a settlement associated with damages sustained at the Goodnoe Hills generating plant.</t>
  </si>
  <si>
    <t>RA - Lake Side Settlement - WY</t>
  </si>
  <si>
    <t>Regulatory asset for the Wyoming allocated portion of a settlement associated with damages sustained at the Lake Side generating plant.</t>
  </si>
  <si>
    <t>RA - Liquidation Damages - N2 - WY</t>
  </si>
  <si>
    <t>Regulatory asset established to record Wyoming's share of liquidating damages on outages at Naughton 2 that are being returned to Wyoming customers on an accelerated basis through the 2013 Energy Cost Adjustment Mechanism (ECAM).</t>
  </si>
  <si>
    <t>RA - OR Asset Sale Gain GB - Noncurrent</t>
  </si>
  <si>
    <t>RA - Other - Balance Reclass</t>
  </si>
  <si>
    <t>RA - Post Employment Costs</t>
  </si>
  <si>
    <t>Regulatory asset established as an offset to the increase in post-employment obligations.</t>
  </si>
  <si>
    <t xml:space="preserve">RA - Post Merger Loss - Reacquired Debt </t>
  </si>
  <si>
    <t>Asset accrued for required debt, amortized for book purposes over the remaining life of the original issuance, or over the life of the new issuance if the original issuance was refinanced.</t>
  </si>
  <si>
    <t>RA - Preferred Stock Redemption - WY</t>
  </si>
  <si>
    <t>RA - Preferred Stock Redemption Loss - UT</t>
  </si>
  <si>
    <t>RA - Preferred Stock Redemption Loss - WA</t>
  </si>
  <si>
    <t>RA - Solar Feed-In Tariff Deferral - OR - Noncurrent</t>
  </si>
  <si>
    <t>RA - Storm Damage Deferral - CA</t>
  </si>
  <si>
    <t>RA - UT Liquidation Damages</t>
  </si>
  <si>
    <t>Regulatory asset established for Utah portion of liquidated damages payments for outages at Jim Bridger Unit4, Naughton Unit 1 and Unit 2.</t>
  </si>
  <si>
    <t>RA - UT Subscriber Solar Program</t>
  </si>
  <si>
    <t>Regulatory asset established for the UT Subscriber Solar Program.</t>
  </si>
  <si>
    <t>RA - Post Retirement Settlement Loss</t>
  </si>
  <si>
    <t>Regulatory asset established to record a FAS 106 regulatory asset for the settlement loss on retiree medical obligations.</t>
  </si>
  <si>
    <t>RL - Property Insurance Reserve - OR</t>
  </si>
  <si>
    <t>FERC 283 - Other</t>
  </si>
  <si>
    <t>Hermiston Swap</t>
  </si>
  <si>
    <t>Asset accrued for a deferred expense related to a termination fee incurred by PacifiCorp when it acquired a 50% interest in the Hermiston generating plant.  For book purposes, the cost is being amortized over the remaining life of the plant.</t>
  </si>
  <si>
    <t>Prepaid Membership Fees</t>
  </si>
  <si>
    <t>Asset accrued for prepaid membership fees, amortized for book purposes over a period of 12 months or less.</t>
  </si>
  <si>
    <t>Prepaid Taxes - ID PUC</t>
  </si>
  <si>
    <t>Prepaid Taxes - OR PUC</t>
  </si>
  <si>
    <t xml:space="preserve">Prepaid Taxes - Property Taxes </t>
  </si>
  <si>
    <t>Book-tax difference associated with the timing of deductibility of property taxes.</t>
  </si>
  <si>
    <t>Prepaid Taxes - UT PUC</t>
  </si>
  <si>
    <t>Asset accrued for prepaid Utah commission fee, amortized for book purposes over a period of 12 months or less.</t>
  </si>
  <si>
    <t>Prepaid Water Rights</t>
  </si>
  <si>
    <t>Trapper Mining Stock Basis</t>
  </si>
  <si>
    <t xml:space="preserve">Equity earnings for Trapper Mine.  The equity method of accounting does not apply for income tax purposes.                                                                                                                                                                                                                                                                                           </t>
  </si>
  <si>
    <t xml:space="preserve">Subtotal - p277  </t>
  </si>
  <si>
    <t>Instructions for Account 283:</t>
  </si>
  <si>
    <t>End of Current Year for Projection and Average of Beginning and End of Current Year for True-up</t>
  </si>
  <si>
    <t>Total End of Year Transmission ADIT</t>
  </si>
  <si>
    <t>Beginning of Year Total  (Attachment 1)</t>
  </si>
  <si>
    <t>Appendix A, line 33 input</t>
  </si>
  <si>
    <t>Valuation Allowance for State Credit DTA</t>
  </si>
  <si>
    <t>Bad Debt</t>
  </si>
  <si>
    <t>Effects of Ratemaking - Fixed Assets Fed only - PMI</t>
  </si>
  <si>
    <t>PP&amp;E FIN 48 Balances</t>
  </si>
  <si>
    <t>RL - Effects of Ratemaking - Fixed Assets - PMI Fed Only</t>
  </si>
  <si>
    <t xml:space="preserve">RL - Effects of Ratemaking - Fixed Assets </t>
  </si>
  <si>
    <t>RA - Solar Incentive Program - UT - Noncurrent</t>
  </si>
  <si>
    <t>Regulatory asset established for the UT Solar incentive program costs.</t>
  </si>
  <si>
    <t>RA - Utah STEP Pilot Program Balance Account</t>
  </si>
  <si>
    <t>FAS 158 Post-Retirement Asset</t>
  </si>
  <si>
    <t>Prepaid Aircraft Maintenance</t>
  </si>
  <si>
    <t>Prepaid Taxes - Property Tax FIN 48</t>
  </si>
  <si>
    <t>Def Comp Mark to Market Gain/Loss - Income Statement</t>
  </si>
  <si>
    <t xml:space="preserve">Deferred compensation plan investments are being treated as "trading securities" where they are invested based upon the plan participants' personal investment elections. Starting in July 2010, the investments are reflected at fair market value and any unrealized gains or losses are reflected in earnings.  </t>
  </si>
  <si>
    <t>Attachment 2 - Taxes Other Than Income Worksheet</t>
  </si>
  <si>
    <t>Other Taxes</t>
  </si>
  <si>
    <t>Allocator</t>
  </si>
  <si>
    <t>Allocated Amount</t>
  </si>
  <si>
    <t>Real Property</t>
  </si>
  <si>
    <t>Possessory taxes</t>
  </si>
  <si>
    <t>Total Plant Related</t>
  </si>
  <si>
    <t>Federal FICA</t>
  </si>
  <si>
    <t>Federal Unemployment</t>
  </si>
  <si>
    <t>State Unemployment</t>
  </si>
  <si>
    <t>Total Labor Related</t>
  </si>
  <si>
    <t>Other Included</t>
  </si>
  <si>
    <t>Annual Report</t>
  </si>
  <si>
    <t xml:space="preserve">  </t>
  </si>
  <si>
    <t>Total Other Included</t>
  </si>
  <si>
    <t>&lt;--Appendix A input</t>
  </si>
  <si>
    <t>Currently Excluded</t>
  </si>
  <si>
    <t>Subtotal Excluded Taxes</t>
  </si>
  <si>
    <t>Total Other Taxes</t>
  </si>
  <si>
    <t>114.14c</t>
  </si>
  <si>
    <t>&lt;--should indicate only rounding error</t>
  </si>
  <si>
    <t>Criteria for Allocation:</t>
  </si>
  <si>
    <t xml:space="preserve">Other taxes that are incurred through ownership of plant, including transmission plant, will be allocated based on the Net Plant </t>
  </si>
  <si>
    <t>Allocator.  If the taxes are 100% recovered at retail, they shall not be included.</t>
  </si>
  <si>
    <t>Other taxes that are incurred through ownership of only general or intangible plant will be allocated based on the Wages and Salary</t>
  </si>
  <si>
    <t>Other taxes that are assessed based on labor will be allocated based on the Wages and Salary Allocator.</t>
  </si>
  <si>
    <t xml:space="preserve">Other taxes, except as provided for in A, B and C above, which are incurred and (1) are not fully recovered at retail or (2) are </t>
  </si>
  <si>
    <t xml:space="preserve">directly or indirectly related to transmission service, will be allocated based on the Net Plant Allocator; provided, however, that </t>
  </si>
  <si>
    <t xml:space="preserve">overheads shall be treated, as described in footnote B above. </t>
  </si>
  <si>
    <t>Excludes prior period adjustments in the first year of the formula's operation and reconciliation for the first year.</t>
  </si>
  <si>
    <t xml:space="preserve">Attachment 2 (Other Taxes) Supporting Details </t>
  </si>
  <si>
    <t>Page</t>
  </si>
  <si>
    <t>Column</t>
  </si>
  <si>
    <t>Form 1 data</t>
  </si>
  <si>
    <t>Items not related to wholesale transactions</t>
  </si>
  <si>
    <t>Local Franchise</t>
  </si>
  <si>
    <t>see detail</t>
  </si>
  <si>
    <t>…</t>
  </si>
  <si>
    <t>City fees based on retail revenue to the end customers served</t>
  </si>
  <si>
    <t>Local Franchise (California)</t>
  </si>
  <si>
    <t>City fees based on retail revenue to the end customers served CA</t>
  </si>
  <si>
    <t>Local Franchise (Oregon)</t>
  </si>
  <si>
    <t>City fees based on retail revenue to the end customers served OR</t>
  </si>
  <si>
    <t>Local Franchise (Wyoming)</t>
  </si>
  <si>
    <t>City fees based on retail revenue to the end customers served WY</t>
  </si>
  <si>
    <t>Montana Energy License</t>
  </si>
  <si>
    <t>Montana taxes based on generation from the Colstrip and Big Fork plants</t>
  </si>
  <si>
    <t>Montana Wholesale Energy</t>
  </si>
  <si>
    <t>Idaho Generation Tax (KWh)</t>
  </si>
  <si>
    <t>Idaho tax based on generation</t>
  </si>
  <si>
    <t>Oregon Department of Energy</t>
  </si>
  <si>
    <t>Oregon tax assessed by the state Department of Energy, based primarily on retail sales to our customers in the state</t>
  </si>
  <si>
    <t>Wyoming Wind Generation Tax</t>
  </si>
  <si>
    <t>WY tax based on mwh of production from WY wind turbines</t>
  </si>
  <si>
    <t>Washington Public Utility Tax</t>
  </si>
  <si>
    <t>Washington tax based on retail revenue to end customers</t>
  </si>
  <si>
    <t>Miscellaneous taxes, audit settlements, and other charges unrelated to wholesale transactions</t>
  </si>
  <si>
    <t>WA Bus &amp; Occup</t>
  </si>
  <si>
    <t>Nevada Commerce Tax</t>
  </si>
  <si>
    <t>Attachment 3 - Revenue Credit Worksheet</t>
  </si>
  <si>
    <t>Value</t>
  </si>
  <si>
    <t>Account 454 - Rent from Electric Property</t>
  </si>
  <si>
    <t xml:space="preserve">Rent from Electric Property - Transmission Related </t>
  </si>
  <si>
    <t>Pole Attachments - Transmission Related</t>
  </si>
  <si>
    <t>Distribution Underbuild - Transmission Related</t>
  </si>
  <si>
    <t>detail below</t>
  </si>
  <si>
    <t>Various Rents - Transmission Related</t>
  </si>
  <si>
    <t>Miscellaneous General Revenues</t>
  </si>
  <si>
    <t>Account 454 subtotal</t>
  </si>
  <si>
    <t>&lt;-- 'Summary of Rates' input</t>
  </si>
  <si>
    <t>Account 456 - Other Electric Revenues (Note 1)</t>
  </si>
  <si>
    <t>Transmission for Others</t>
  </si>
  <si>
    <t>Attachment 13</t>
  </si>
  <si>
    <t>Net revenues associated with Network Integration Transmission Service (NITS) for which the load is not included in the divisor</t>
  </si>
  <si>
    <t>Short-term firm and non-firm service revenues for which the load is not included in the divisor received by Transmission Owner</t>
  </si>
  <si>
    <t>Facilities Charges including Interconnection Agreements</t>
  </si>
  <si>
    <t>&lt;--linked to 'Inputs' adjustments</t>
  </si>
  <si>
    <t xml:space="preserve">Transmission maintenance revenue </t>
  </si>
  <si>
    <t>Account 456.2</t>
  </si>
  <si>
    <t>Account 456 subtotal</t>
  </si>
  <si>
    <r>
      <rPr>
        <sz val="10"/>
        <rFont val="Arial"/>
        <family val="2"/>
      </rPr>
      <t xml:space="preserve">Appendix A input: </t>
    </r>
    <r>
      <rPr>
        <b/>
        <sz val="10"/>
        <rFont val="Arial"/>
        <family val="2"/>
      </rPr>
      <t>Gross Revenue Credits</t>
    </r>
  </si>
  <si>
    <t>&lt;--'Appendix A' input</t>
  </si>
  <si>
    <t>Detail for selected items above</t>
  </si>
  <si>
    <t>Rents - General</t>
  </si>
  <si>
    <t>One Utah Center and North Temple office subleases</t>
  </si>
  <si>
    <t>Parking Rent: Lloyd Center, Portland, Oregon</t>
  </si>
  <si>
    <t>Rents - Common Affiliate - Kern River</t>
  </si>
  <si>
    <t>Rents - Non-Common</t>
  </si>
  <si>
    <t>Total Miscellaneous General Revenue</t>
  </si>
  <si>
    <t>Total Allocated Miscellaneous General Revenue</t>
  </si>
  <si>
    <t>Distribution Underbuild</t>
  </si>
  <si>
    <t>Third party attachments</t>
  </si>
  <si>
    <t>Common pole location fixed annual revenue credit</t>
  </si>
  <si>
    <t xml:space="preserve">fixed </t>
  </si>
  <si>
    <t>&lt;--fixed</t>
  </si>
  <si>
    <t>Distribution Underbuild - Transmission related</t>
  </si>
  <si>
    <t>Note 1</t>
  </si>
  <si>
    <t>Note 2</t>
  </si>
  <si>
    <t>If the costs associated with the Directly Assigned Transmission Facility Charges are included in the Rates, the associated revenues are included in the Rates.  If the costs associated with the Directly Assigned Transmission Facility Charges are not included in the Rates, the associated revenues are not included in the Rates.</t>
  </si>
  <si>
    <t>Note 3</t>
  </si>
  <si>
    <t>If the facilities associated with the revenues are not included in the formula, the revenue is shown here, but not included in the total above and explained in the Cost Support, (e.g., revenues associated with distribution facilities).</t>
  </si>
  <si>
    <t>Attachment 4 - Calculation of 100 Basis Point Increase in ROE</t>
  </si>
  <si>
    <t>Return and Taxes with 100 Basis Point increase in ROE</t>
  </si>
  <si>
    <t>100 Basis Point increase in ROE and Income Taxes</t>
  </si>
  <si>
    <t>Return Calculation</t>
  </si>
  <si>
    <r>
      <t xml:space="preserve">Reference </t>
    </r>
    <r>
      <rPr>
        <sz val="12"/>
        <rFont val="Arial"/>
        <family val="2"/>
      </rPr>
      <t>(Appendix A Line or Source)</t>
    </r>
  </si>
  <si>
    <t>Composite Income Taxes</t>
  </si>
  <si>
    <t>p = percent of federal income tax deductible for state purposes</t>
  </si>
  <si>
    <t>CIT = T / (1-T)</t>
  </si>
  <si>
    <t>1 / (1-T)</t>
  </si>
  <si>
    <t>Amortized Investment Tax Credit</t>
  </si>
  <si>
    <t>CIT = (T/1-T) * Investment Return * (1-(WCLTD/R)) =</t>
  </si>
  <si>
    <t>Attachment 5 - Cost Support</t>
  </si>
  <si>
    <t>Plant in Service Worksheet</t>
  </si>
  <si>
    <t>Attachment A Line #s, Descriptions, Notes, Form 1 Page #s and Instructions</t>
  </si>
  <si>
    <t>Detail/notes</t>
  </si>
  <si>
    <t>Calculation of Transmission  Plant In Service</t>
  </si>
  <si>
    <t>Source</t>
  </si>
  <si>
    <t>Footnotes</t>
  </si>
  <si>
    <t>Year</t>
  </si>
  <si>
    <t>Balance</t>
  </si>
  <si>
    <t>December</t>
  </si>
  <si>
    <t>January</t>
  </si>
  <si>
    <t>Monthly Balances</t>
  </si>
  <si>
    <t>February</t>
  </si>
  <si>
    <t>March</t>
  </si>
  <si>
    <t>April</t>
  </si>
  <si>
    <t>May</t>
  </si>
  <si>
    <t xml:space="preserve">June </t>
  </si>
  <si>
    <t>July</t>
  </si>
  <si>
    <t>August</t>
  </si>
  <si>
    <t>September</t>
  </si>
  <si>
    <t xml:space="preserve">October </t>
  </si>
  <si>
    <t>November</t>
  </si>
  <si>
    <t>Appendix A input</t>
  </si>
  <si>
    <t>Calculation of Distribution Plant In Service</t>
  </si>
  <si>
    <t>October</t>
  </si>
  <si>
    <t>Distribution Plant In Service</t>
  </si>
  <si>
    <t>Calculation of Intangible Plant In Service</t>
  </si>
  <si>
    <t>204.5b</t>
  </si>
  <si>
    <t>204.5g</t>
  </si>
  <si>
    <t>Intangible Plant In Service</t>
  </si>
  <si>
    <t>Calculation of General Plant In Service</t>
  </si>
  <si>
    <t>General Plant In Service</t>
  </si>
  <si>
    <t>Calculation of Production Plant In Service</t>
  </si>
  <si>
    <t>204.46b</t>
  </si>
  <si>
    <t>204.46g</t>
  </si>
  <si>
    <t>Production Plant In Service</t>
  </si>
  <si>
    <t>Electric Plant Sold</t>
  </si>
  <si>
    <t>Total Plant In Service</t>
  </si>
  <si>
    <t>Accumulated Depreciation Worksheet</t>
  </si>
  <si>
    <t>Calculation of Transmission Accumulated Depreciation</t>
  </si>
  <si>
    <t>Prior year 219.25c</t>
  </si>
  <si>
    <t>219.25c</t>
  </si>
  <si>
    <t>Calculation of Distribution Accumulated Depreciation</t>
  </si>
  <si>
    <t>Prior year 219.26c</t>
  </si>
  <si>
    <t>219.26c</t>
  </si>
  <si>
    <t>Distribution Accumulated Depreciation</t>
  </si>
  <si>
    <t>Calculation of Intangible Accumulated Depreciation</t>
  </si>
  <si>
    <t>Prior year 200.21c</t>
  </si>
  <si>
    <t>200.21c</t>
  </si>
  <si>
    <t>Accumulated Intangible Depreciation</t>
  </si>
  <si>
    <t>Calculation of General Accumulated Depreciation</t>
  </si>
  <si>
    <t>Prior year 219.28c</t>
  </si>
  <si>
    <t>219.28c</t>
  </si>
  <si>
    <t>Calculation of Production Accumulated Depreciation</t>
  </si>
  <si>
    <t>Prior year 219.20 through 219.24</t>
  </si>
  <si>
    <t>219.20 through 219.24</t>
  </si>
  <si>
    <t>Production Accumulated Depreciation</t>
  </si>
  <si>
    <t>Materials &amp; Supplies</t>
  </si>
  <si>
    <t>Appendix A Line #s, Descriptions, Notes, Form No. 1 Page #s and Instructions</t>
  </si>
  <si>
    <t>Form No. 1 Amount</t>
  </si>
  <si>
    <t>Prior Year</t>
  </si>
  <si>
    <t>227.16c</t>
  </si>
  <si>
    <t>formula</t>
  </si>
  <si>
    <t>Current Year</t>
  </si>
  <si>
    <t>227.5c</t>
  </si>
  <si>
    <t>227.8c</t>
  </si>
  <si>
    <t>Transmission related portion</t>
  </si>
  <si>
    <t xml:space="preserve">Appendix A input  </t>
  </si>
  <si>
    <t>Details</t>
  </si>
  <si>
    <t>Utility Investment Tax Credit Adj. - Net (411.4)</t>
  </si>
  <si>
    <t>114.19c</t>
  </si>
  <si>
    <t>Rate Base Adjustment</t>
  </si>
  <si>
    <t>Internal Revenue Code (IRC) 46(f)(1) adjustment to rate base</t>
  </si>
  <si>
    <t>Current beg of year balance</t>
  </si>
  <si>
    <t>266 footnotes</t>
  </si>
  <si>
    <t>Current end of year balance</t>
  </si>
  <si>
    <t>Average</t>
  </si>
  <si>
    <t>(enter negative in Appendix A)</t>
  </si>
  <si>
    <t>Transmission / Non-transmission Cost Support</t>
  </si>
  <si>
    <t>Non-transmission Related</t>
  </si>
  <si>
    <t>214.47d</t>
  </si>
  <si>
    <t>Detail for transmission-related value on Attachment 12</t>
  </si>
  <si>
    <t>Adjustments to A &amp; G Expense</t>
  </si>
  <si>
    <t>Adjusted Total</t>
  </si>
  <si>
    <t>Excluded Membership Dues Expense</t>
  </si>
  <si>
    <t>Included</t>
  </si>
  <si>
    <t>Excluded</t>
  </si>
  <si>
    <t>Page 335, Line 1 (Industry Association Dues)</t>
  </si>
  <si>
    <t>component of 335 Ln 1b</t>
  </si>
  <si>
    <t>Page 335, Line 1 Subtotal</t>
  </si>
  <si>
    <t>Other (Individually less than $5,000)</t>
  </si>
  <si>
    <t>Rating Agency and Trustee Fees</t>
  </si>
  <si>
    <t>Appendix A Input</t>
  </si>
  <si>
    <t>PBOP</t>
  </si>
  <si>
    <t>Annual Update Informational Filing</t>
  </si>
  <si>
    <t>Actual PBOP expense</t>
  </si>
  <si>
    <t>Authorized Filled Expense minus Actual Expense</t>
  </si>
  <si>
    <t>Property Insurance</t>
  </si>
  <si>
    <t>Regulatory Expense Related to Transmission Cost Support</t>
  </si>
  <si>
    <r>
      <t xml:space="preserve">Transmission Related 
</t>
    </r>
    <r>
      <rPr>
        <b/>
        <sz val="12"/>
        <color theme="0"/>
        <rFont val="Arial"/>
        <family val="2"/>
      </rPr>
      <t>Appendix A input</t>
    </r>
  </si>
  <si>
    <t>Specific Transmission related Regulatory Expenses</t>
  </si>
  <si>
    <t>Federal Energy Regulatory Commission:</t>
  </si>
  <si>
    <t>Annual Fee</t>
  </si>
  <si>
    <t xml:space="preserve">Annual Fee - hydro </t>
  </si>
  <si>
    <t>Transmission Rate Case</t>
  </si>
  <si>
    <t>Other Regulatory</t>
  </si>
  <si>
    <t>sum</t>
  </si>
  <si>
    <t>Safety Related Advertising Cost Support</t>
  </si>
  <si>
    <r>
      <t xml:space="preserve">Safety Related </t>
    </r>
    <r>
      <rPr>
        <b/>
        <sz val="12"/>
        <color theme="0"/>
        <rFont val="Arial"/>
        <family val="2"/>
      </rPr>
      <t>Appendix A Input</t>
    </r>
  </si>
  <si>
    <t>Non-safety Related</t>
  </si>
  <si>
    <t>Based on FERC 930.1 download</t>
  </si>
  <si>
    <t>Education and Out Reach Cost Support</t>
  </si>
  <si>
    <r>
      <t xml:space="preserve">Education &amp; Outreach </t>
    </r>
    <r>
      <rPr>
        <b/>
        <sz val="12"/>
        <color theme="0"/>
        <rFont val="Arial"/>
        <family val="2"/>
      </rPr>
      <t>Appendix A Input</t>
    </r>
  </si>
  <si>
    <t>Other</t>
  </si>
  <si>
    <t>Multistate worksheet</t>
  </si>
  <si>
    <t>Enter Average State Income Tax Rate</t>
  </si>
  <si>
    <t>Adjustments to Transmission O&amp;M</t>
  </si>
  <si>
    <t>Plus adjustments</t>
  </si>
  <si>
    <t>Adjustment for Ancillary Services Accounts 561-561.5</t>
  </si>
  <si>
    <t>(561) Load Dispatching</t>
  </si>
  <si>
    <t>Appendix A Line #s, Descriptions, Notes, Form 1 Page #s and Instructions</t>
  </si>
  <si>
    <t xml:space="preserve">Description &amp; Documentation </t>
  </si>
  <si>
    <t>Other adjustments to rate base</t>
  </si>
  <si>
    <t>Enter negative</t>
  </si>
  <si>
    <t>Transmission Plant</t>
  </si>
  <si>
    <t>Depreciation expense (403)</t>
  </si>
  <si>
    <t>336.7b</t>
  </si>
  <si>
    <t>Amortization of limited term electric plant (404)</t>
  </si>
  <si>
    <t>336.7d</t>
  </si>
  <si>
    <t>336.10b</t>
  </si>
  <si>
    <t>336.10d</t>
  </si>
  <si>
    <t>Intangible plant</t>
  </si>
  <si>
    <t>336.1d</t>
  </si>
  <si>
    <t>Amortization of other electric plant (405)</t>
  </si>
  <si>
    <t>336.1e</t>
  </si>
  <si>
    <t>Total Intangible Amortization</t>
  </si>
  <si>
    <t>Less Regulatory Asset Amortizations Account 930.2</t>
  </si>
  <si>
    <t>for a discussion of the items previously included in this section.</t>
  </si>
  <si>
    <t>Attachment 6 - Estimate and Reconciliation Worksheet</t>
  </si>
  <si>
    <t>Instruction Summary</t>
  </si>
  <si>
    <t>Step</t>
  </si>
  <si>
    <t>Month</t>
  </si>
  <si>
    <t>Action</t>
  </si>
  <si>
    <t>Year 2</t>
  </si>
  <si>
    <t>TO populates the formula with Year 1 data from FERC Form No. 1 data for Year 1 (e.g., 2010)</t>
  </si>
  <si>
    <t>TO estimates all transmission Cap Adds and CWIP for Year 2 weighted based on Months expected to be in service in Year 2 (e.g., 2011)</t>
  </si>
  <si>
    <t>TO adds weighted Cap Adds to plant in service in Formula</t>
  </si>
  <si>
    <t>Post results of Step 3</t>
  </si>
  <si>
    <t>June</t>
  </si>
  <si>
    <t>Results of Step 3 go into effect for the Rate Year 1 (e.g., June 1, 2011 - May 31, 2012)</t>
  </si>
  <si>
    <t>Year 3</t>
  </si>
  <si>
    <t>TO populates the formula with Year 2 data from FERC Form No. 1 for Year 2 (e.g., 2011)</t>
  </si>
  <si>
    <t>Reconciliation - actual data</t>
  </si>
  <si>
    <t>TO estimates Cap Adds and CWIP during Year 3 weighted based on Months expected to be in service in Year 3 (e.g., 2012)</t>
  </si>
  <si>
    <t xml:space="preserve">Worksheet </t>
  </si>
  <si>
    <t>Rev Req based on Year 1 data</t>
  </si>
  <si>
    <t>TO estimates all transmission Cap Adds and CWIP for Year 2 weighted based on Months expected to be in service in Year 2 (e.g., 2011) in projection and populates for actuals as inputs to Attachment 7 (but not Appendix A) for true up.</t>
  </si>
  <si>
    <t>CWIP</t>
  </si>
  <si>
    <t>(G)</t>
  </si>
  <si>
    <t>(H)</t>
  </si>
  <si>
    <t>(I)</t>
  </si>
  <si>
    <t>(J)</t>
  </si>
  <si>
    <t>(K)</t>
  </si>
  <si>
    <t>(L)</t>
  </si>
  <si>
    <t>(M)</t>
  </si>
  <si>
    <t>(N)</t>
  </si>
  <si>
    <t>(O)</t>
  </si>
  <si>
    <t>(P)</t>
  </si>
  <si>
    <t>(Q)</t>
  </si>
  <si>
    <t>(R)</t>
  </si>
  <si>
    <t>(S)</t>
  </si>
  <si>
    <t>Monthly Additions</t>
  </si>
  <si>
    <t>Input/Total</t>
  </si>
  <si>
    <t>Other Transmission PIS</t>
  </si>
  <si>
    <t>Energy Gateway</t>
  </si>
  <si>
    <t>Transmission CWIP</t>
  </si>
  <si>
    <t>Weighting</t>
  </si>
  <si>
    <t>Amount (A x L)</t>
  </si>
  <si>
    <t>Amount (J x L)</t>
  </si>
  <si>
    <t>(M / 13)</t>
  </si>
  <si>
    <t>(N / 13)</t>
  </si>
  <si>
    <t>Amount (K x L)</t>
  </si>
  <si>
    <t>(O / 13)</t>
  </si>
  <si>
    <t>(Excl Energy Gateway)</t>
  </si>
  <si>
    <t>Segment B</t>
  </si>
  <si>
    <t>Segment C</t>
  </si>
  <si>
    <t>Segment D</t>
  </si>
  <si>
    <t>Segment E</t>
  </si>
  <si>
    <t>Segment F</t>
  </si>
  <si>
    <t>Segment G</t>
  </si>
  <si>
    <t>Segment H</t>
  </si>
  <si>
    <t>Total (Segments B-H)</t>
  </si>
  <si>
    <t>(Gateway only)</t>
  </si>
  <si>
    <t>CWIP Balance Dec (prior year)</t>
  </si>
  <si>
    <t>Jan</t>
  </si>
  <si>
    <t>Feb</t>
  </si>
  <si>
    <t>Mar</t>
  </si>
  <si>
    <t>Apr</t>
  </si>
  <si>
    <t>Jun</t>
  </si>
  <si>
    <t>Jul</t>
  </si>
  <si>
    <t>Aug</t>
  </si>
  <si>
    <t>Sep</t>
  </si>
  <si>
    <t>Oct</t>
  </si>
  <si>
    <t>Nov</t>
  </si>
  <si>
    <t>Dec</t>
  </si>
  <si>
    <t>New Transmission Plant Additions  and CWIP (weighted by months in service)</t>
  </si>
  <si>
    <t>Estimated Life</t>
  </si>
  <si>
    <t>Estimated Depreciation for Attachment 7</t>
  </si>
  <si>
    <t>Rev Req based on Prior Year data</t>
  </si>
  <si>
    <t>Total  Estimated Depreciation for Attachment 7</t>
  </si>
  <si>
    <t>Result of Formula for Reconciliation</t>
  </si>
  <si>
    <t xml:space="preserve">Schedule 1 Reconciliation </t>
  </si>
  <si>
    <t>Attachment 7 - Transmission Enhancement Charge Worksheet</t>
  </si>
  <si>
    <t>New Plant Carrying Charge</t>
  </si>
  <si>
    <t>Fixed Charge Rate (FCR) if not Contributions in Aid of Construction (CIAC)</t>
  </si>
  <si>
    <t>Formula Line</t>
  </si>
  <si>
    <t xml:space="preserve">Line B less Line A </t>
  </si>
  <si>
    <t>FCR if CIAC</t>
  </si>
  <si>
    <t>The FCR resulting from Formula in a given year is used for that year only.</t>
  </si>
  <si>
    <t>Therefore actual revenues collected in a year do not change based on cost data for subsequent years</t>
  </si>
  <si>
    <t>In the True-up, the actual depreciation expense will be used.</t>
  </si>
  <si>
    <t>Columns and rows may be added to accommodate more projects</t>
  </si>
  <si>
    <r>
      <t xml:space="preserve">Transmission CWIP 
</t>
    </r>
    <r>
      <rPr>
        <sz val="10"/>
        <rFont val="Arial Narrow"/>
        <family val="2"/>
      </rPr>
      <t>(Energy Gateway only)</t>
    </r>
  </si>
  <si>
    <r>
      <t xml:space="preserve">Transmission PIS Actuals 
</t>
    </r>
    <r>
      <rPr>
        <sz val="10"/>
        <rFont val="Arial Narrow"/>
        <family val="2"/>
      </rPr>
      <t xml:space="preserve">(Energy Gateway Segment B-H) </t>
    </r>
  </si>
  <si>
    <r>
      <t xml:space="preserve">Transmission PIS Projection
 </t>
    </r>
    <r>
      <rPr>
        <sz val="10"/>
        <rFont val="Arial Narrow"/>
        <family val="2"/>
      </rPr>
      <t>(Energy Gateway Segment B-H)</t>
    </r>
    <r>
      <rPr>
        <b/>
        <sz val="10"/>
        <rFont val="Arial Narrow"/>
        <family val="2"/>
      </rPr>
      <t xml:space="preserve"> </t>
    </r>
  </si>
  <si>
    <t>Useful life of the project</t>
  </si>
  <si>
    <t>Life</t>
  </si>
  <si>
    <t>"Yes" if the customer has paid a lumpsum payment in the amount of the investment on line 29, Otherwise "No"</t>
  </si>
  <si>
    <t>CIAC</t>
  </si>
  <si>
    <t>(Yes or No)</t>
  </si>
  <si>
    <t>No</t>
  </si>
  <si>
    <t>Input the allowed increase in ROE</t>
  </si>
  <si>
    <t>Increased ROE (basis points)</t>
  </si>
  <si>
    <t xml:space="preserve">Docket no. EL08-75-000, Order No. 125 (2008), FERC Stats. &amp; Regs. ¶61,076. </t>
  </si>
  <si>
    <t>From line 3 above if "No" on line 13 and from line 7 above if "Yes" on line 13</t>
  </si>
  <si>
    <t>Line 14 plus (line 5 times line 13)/100</t>
  </si>
  <si>
    <t>FCR for This Project</t>
  </si>
  <si>
    <t>13 Month Net Plant or CWIP Balance</t>
  </si>
  <si>
    <t>Investment</t>
  </si>
  <si>
    <t>Actual or estimated depreciation expense</t>
  </si>
  <si>
    <t>Annual Depreciation Expense</t>
  </si>
  <si>
    <t>Invest Yr</t>
  </si>
  <si>
    <t>Depreciation</t>
  </si>
  <si>
    <t>Revenue</t>
  </si>
  <si>
    <t>Incentive Charged</t>
  </si>
  <si>
    <t>Without Incentive</t>
  </si>
  <si>
    <r>
      <rPr>
        <b/>
        <sz val="10"/>
        <rFont val="Arial Narrow"/>
        <family val="2"/>
      </rPr>
      <t xml:space="preserve">Transmission Incentive Credit
</t>
    </r>
    <r>
      <rPr>
        <sz val="10"/>
        <rFont val="Arial Narrow"/>
        <family val="2"/>
      </rPr>
      <t>(incentive minus without)</t>
    </r>
  </si>
  <si>
    <t>W Increased ROE</t>
  </si>
  <si>
    <t>….</t>
  </si>
  <si>
    <t>…..</t>
  </si>
  <si>
    <t>Attachment 8 - Depreciation Rates</t>
  </si>
  <si>
    <t>Oregon</t>
  </si>
  <si>
    <t>Washington</t>
  </si>
  <si>
    <t>California</t>
  </si>
  <si>
    <t>Utah</t>
  </si>
  <si>
    <t>Wyoming</t>
  </si>
  <si>
    <t>AZ, CO, MT, NM</t>
  </si>
  <si>
    <t>Idaho</t>
  </si>
  <si>
    <t>Row</t>
  </si>
  <si>
    <t>A/C</t>
  </si>
  <si>
    <t> Rate</t>
  </si>
  <si>
    <t>Rate</t>
  </si>
  <si>
    <t>(a)</t>
  </si>
  <si>
    <t>(b)</t>
  </si>
  <si>
    <t>( c )</t>
  </si>
  <si>
    <t>( d)</t>
  </si>
  <si>
    <t>(e)</t>
  </si>
  <si>
    <t>(f)</t>
  </si>
  <si>
    <t>( g )</t>
  </si>
  <si>
    <t>( h)</t>
  </si>
  <si>
    <t>(i)</t>
  </si>
  <si>
    <t>(j)</t>
  </si>
  <si>
    <t>(k)</t>
  </si>
  <si>
    <t>(l)</t>
  </si>
  <si>
    <t>(m)</t>
  </si>
  <si>
    <t>(n)</t>
  </si>
  <si>
    <t>(o)</t>
  </si>
  <si>
    <t>Land Rights</t>
  </si>
  <si>
    <t>Structures and Improvements</t>
  </si>
  <si>
    <t>Station Equipment</t>
  </si>
  <si>
    <t>Towers and Fixtures</t>
  </si>
  <si>
    <t>Poles and Fixtures</t>
  </si>
  <si>
    <t>Overhead Conductors and Devices</t>
  </si>
  <si>
    <t>Underground Conduit</t>
  </si>
  <si>
    <t>Underground Conductors and Devices</t>
  </si>
  <si>
    <t>Roads &amp; Trails</t>
  </si>
  <si>
    <t>Unclassified Transmission</t>
  </si>
  <si>
    <t>Office Furniture and Equipment - Personal Computers</t>
  </si>
  <si>
    <t>Store Equipment</t>
  </si>
  <si>
    <t>Tools, Shop and Garage Equipment</t>
  </si>
  <si>
    <t>Laboratory Equipment</t>
  </si>
  <si>
    <t>Communication Equipment - Mobile Radio Equipment</t>
  </si>
  <si>
    <t>Miscellaneous Equipment</t>
  </si>
  <si>
    <t>Unclassified General</t>
  </si>
  <si>
    <t>Franchises and Consents</t>
  </si>
  <si>
    <t>Miscellaneous Intangible Plant</t>
  </si>
  <si>
    <t>Leasehold Improvements - Gen</t>
  </si>
  <si>
    <t>The columns labeled "Balance" are the amount of investment physically located in each state.</t>
  </si>
  <si>
    <t>The plant balance is updated each month as new plant is added.</t>
  </si>
  <si>
    <t>The balances to be reported in the columns labeled "Balances" in any update are the weighted 13-month average balances for the rate year.</t>
  </si>
  <si>
    <t>"Company Rate" shows the depreciation rate approved by all of the jurisdictions on a total company basis.</t>
  </si>
  <si>
    <t xml:space="preserve">Unclassified Transmission represents the transmission additions placed in service but not yet classified to a FERC level account. Monthly depreciation is calculated by multiplying the month's beginning unclassified balance by the monthly transmission composite depreciation rate. </t>
  </si>
  <si>
    <t xml:space="preserve">Unclassified General represents the general plant additions placed in service but not yet classified to a FERC level account. Monthly depreciation is calculated by multiplying the month's beginning unclassified balance by the monthly state general plant composite depreciation rate. </t>
  </si>
  <si>
    <t>Depreciation expense for General plant is decreased by the amount that is billed to joint owners for computer hardware.</t>
  </si>
  <si>
    <t>Amortization expense for Intangible is decreased by the amount that is billed to joint owners for computer software.</t>
  </si>
  <si>
    <t>If the depreciation rates shown differ from the depreciation rates used to calculate the depreciation expense reported in FN1, then PacifiCorp is required to file under Section 205 for a modification of this Attachment or the calculation of depreciation expense and accumulated depreciation under this formula</t>
  </si>
  <si>
    <t>Attachment 9a - Load Divisor for Projection</t>
  </si>
  <si>
    <t>OATT (Part III - Network Service) - Average of current year and prior two years</t>
  </si>
  <si>
    <t>Other Service</t>
  </si>
  <si>
    <t>e</t>
  </si>
  <si>
    <t>f1</t>
  </si>
  <si>
    <t>f2</t>
  </si>
  <si>
    <t>f3</t>
  </si>
  <si>
    <t>f4</t>
  </si>
  <si>
    <t>f5</t>
  </si>
  <si>
    <t>f6</t>
  </si>
  <si>
    <t>f7</t>
  </si>
  <si>
    <t>f8</t>
  </si>
  <si>
    <t>f9</t>
  </si>
  <si>
    <t>f10</t>
  </si>
  <si>
    <t>f11</t>
  </si>
  <si>
    <t>f12</t>
  </si>
  <si>
    <t>f13</t>
  </si>
  <si>
    <t>f14</t>
  </si>
  <si>
    <t>f15</t>
  </si>
  <si>
    <t>f16</t>
  </si>
  <si>
    <t>f17</t>
  </si>
  <si>
    <t>f</t>
  </si>
  <si>
    <t>j1</t>
  </si>
  <si>
    <t>j2</t>
  </si>
  <si>
    <t>j3</t>
  </si>
  <si>
    <t>j4</t>
  </si>
  <si>
    <t>j</t>
  </si>
  <si>
    <t>Customer</t>
  </si>
  <si>
    <t>UAMPS</t>
  </si>
  <si>
    <t>UMPA</t>
  </si>
  <si>
    <t>Deseret</t>
  </si>
  <si>
    <t>Western Area Power Administration</t>
  </si>
  <si>
    <t>Class</t>
  </si>
  <si>
    <t>NFS</t>
  </si>
  <si>
    <t>NFO</t>
  </si>
  <si>
    <t>Total NFO</t>
  </si>
  <si>
    <t>OS</t>
  </si>
  <si>
    <t>Total OS</t>
  </si>
  <si>
    <t>RS / SA</t>
  </si>
  <si>
    <t>RS 297</t>
  </si>
  <si>
    <t>RS 637</t>
  </si>
  <si>
    <t>RS 280</t>
  </si>
  <si>
    <t>RS 262/263</t>
  </si>
  <si>
    <t xml:space="preserve">Jul </t>
  </si>
  <si>
    <t>Sept</t>
  </si>
  <si>
    <t>Avg 12CP</t>
  </si>
  <si>
    <t>OATT (Part II Long-Term Firm Point-to-Point Transmission Service) - Projection</t>
  </si>
  <si>
    <t>g1</t>
  </si>
  <si>
    <t>g2</t>
  </si>
  <si>
    <t>g3</t>
  </si>
  <si>
    <t>g4</t>
  </si>
  <si>
    <t>g5</t>
  </si>
  <si>
    <t>g6</t>
  </si>
  <si>
    <t>g7</t>
  </si>
  <si>
    <t>g8</t>
  </si>
  <si>
    <t>g9</t>
  </si>
  <si>
    <t>g10</t>
  </si>
  <si>
    <t>g11</t>
  </si>
  <si>
    <t>g12</t>
  </si>
  <si>
    <t>g13</t>
  </si>
  <si>
    <t>g14</t>
  </si>
  <si>
    <t>g15</t>
  </si>
  <si>
    <t>g16</t>
  </si>
  <si>
    <t>g17</t>
  </si>
  <si>
    <t>g18</t>
  </si>
  <si>
    <t>g19</t>
  </si>
  <si>
    <t>g20</t>
  </si>
  <si>
    <t>g21</t>
  </si>
  <si>
    <t>g22</t>
  </si>
  <si>
    <t>g</t>
  </si>
  <si>
    <t>LTP</t>
  </si>
  <si>
    <t>Total LTP</t>
  </si>
  <si>
    <t>Total Network</t>
  </si>
  <si>
    <t xml:space="preserve">Behind-the </t>
  </si>
  <si>
    <t xml:space="preserve">Total Network </t>
  </si>
  <si>
    <t>Network + OS + LTP</t>
  </si>
  <si>
    <t>&amp; OS</t>
  </si>
  <si>
    <t>growth</t>
  </si>
  <si>
    <t>Meter</t>
  </si>
  <si>
    <t>Load</t>
  </si>
  <si>
    <r>
      <t xml:space="preserve">Attachment 9a1 - Load </t>
    </r>
    <r>
      <rPr>
        <sz val="12"/>
        <color theme="1"/>
        <rFont val="Arial"/>
        <family val="2"/>
      </rPr>
      <t>(Current Year)</t>
    </r>
  </si>
  <si>
    <t>OATT (Part III - Network Service)</t>
  </si>
  <si>
    <t>Day</t>
  </si>
  <si>
    <t>Time</t>
  </si>
  <si>
    <r>
      <t xml:space="preserve">Attachment 9a2 - Load </t>
    </r>
    <r>
      <rPr>
        <sz val="12"/>
        <color theme="1"/>
        <rFont val="Arial"/>
        <family val="2"/>
      </rPr>
      <t>(One Year Prior)</t>
    </r>
  </si>
  <si>
    <t>Attachment 9b - Load Divisor for True up</t>
  </si>
  <si>
    <t>j5</t>
  </si>
  <si>
    <t>-</t>
  </si>
  <si>
    <t>OATT Part II Long-Term Firm Point-to-Point Transmission Service</t>
  </si>
  <si>
    <t>Attachment 10 - Accumulated Amortization of Plant in Service</t>
  </si>
  <si>
    <t>Plant in Service - Accumulated Amortization Detail</t>
  </si>
  <si>
    <t>FERC Account</t>
  </si>
  <si>
    <t>Account Number</t>
  </si>
  <si>
    <t>A/Amort-Soft Dev</t>
  </si>
  <si>
    <t>A/Amort-Oth Intang</t>
  </si>
  <si>
    <t>A/Amort-Hydr-Klamath</t>
  </si>
  <si>
    <t>A/Amort-Oth Lic/Hydr</t>
  </si>
  <si>
    <t>A/Amort-LsHld Imprmt</t>
  </si>
  <si>
    <r>
      <rPr>
        <sz val="10"/>
        <rFont val="Arial"/>
        <family val="2"/>
      </rPr>
      <t xml:space="preserve">Attachment 5 input: </t>
    </r>
    <r>
      <rPr>
        <b/>
        <sz val="10"/>
        <rFont val="Arial"/>
        <family val="2"/>
      </rPr>
      <t>Total Accumulated Amortization</t>
    </r>
  </si>
  <si>
    <t>Attachment 11 - Prepayments</t>
  </si>
  <si>
    <t>Account Description</t>
  </si>
  <si>
    <t>Category</t>
  </si>
  <si>
    <t>BoY-EoY Average</t>
  </si>
  <si>
    <t>100% Transmission</t>
  </si>
  <si>
    <t>Plant-related</t>
  </si>
  <si>
    <t>Labor-related</t>
  </si>
  <si>
    <t>Total Prepayments</t>
  </si>
  <si>
    <t>Total Allocated to Transmission by Category</t>
  </si>
  <si>
    <r>
      <rPr>
        <sz val="10"/>
        <color theme="1"/>
        <rFont val="Arial"/>
        <family val="2"/>
      </rPr>
      <t xml:space="preserve">Appendix A input: </t>
    </r>
    <r>
      <rPr>
        <b/>
        <sz val="10"/>
        <color theme="1"/>
        <rFont val="Arial"/>
        <family val="2"/>
      </rPr>
      <t>Total Allocated to Transmission</t>
    </r>
  </si>
  <si>
    <t>Attachment 12 - Plant Held for Future Use</t>
  </si>
  <si>
    <t>Prior year</t>
  </si>
  <si>
    <t>Current year</t>
  </si>
  <si>
    <t>&lt;-- Item is included in FF1 214.20d, Miscellaneous, each under $250,000</t>
  </si>
  <si>
    <r>
      <rPr>
        <sz val="10"/>
        <rFont val="Arial"/>
        <family val="2"/>
      </rPr>
      <t xml:space="preserve">Attachment 5 input: </t>
    </r>
    <r>
      <rPr>
        <b/>
        <sz val="10"/>
        <rFont val="Arial"/>
        <family val="2"/>
      </rPr>
      <t>Total - Transmission</t>
    </r>
  </si>
  <si>
    <t>Total - PacifiCorp</t>
  </si>
  <si>
    <t>Attachment 13 - Revenue Credit Detail</t>
  </si>
  <si>
    <t>Revenue Credit Detail</t>
  </si>
  <si>
    <t>Other Service (OS) contracts</t>
  </si>
  <si>
    <t>MW</t>
  </si>
  <si>
    <r>
      <t xml:space="preserve">As Filed 
</t>
    </r>
    <r>
      <rPr>
        <sz val="11"/>
        <color theme="1"/>
        <rFont val="As Filed "/>
      </rPr>
      <t>1=Revenue credit 
0=Denominator Treatment</t>
    </r>
  </si>
  <si>
    <t>n/a</t>
  </si>
  <si>
    <t>&lt;-- Contractual value of zero (included in PacifiCorp ESM amount)</t>
  </si>
  <si>
    <t>&lt;-- MW value from Att 9b</t>
  </si>
  <si>
    <r>
      <rPr>
        <sz val="11"/>
        <rFont val="Arial"/>
        <family val="2"/>
      </rPr>
      <t xml:space="preserve">Att 3 input: </t>
    </r>
    <r>
      <rPr>
        <b/>
        <sz val="11"/>
        <rFont val="Arial"/>
        <family val="2"/>
      </rPr>
      <t>Total OS contract revenue credits</t>
    </r>
  </si>
  <si>
    <t>&lt;-- Attachment 3 input</t>
  </si>
  <si>
    <t>Short-term revenue</t>
  </si>
  <si>
    <t>Short-term firm</t>
  </si>
  <si>
    <t>PacifiCorp Commercial and Trading (C&amp;T)</t>
  </si>
  <si>
    <t>Third parties</t>
  </si>
  <si>
    <t>Total short-term firm</t>
  </si>
  <si>
    <t>Short-term non-firm</t>
  </si>
  <si>
    <t>Total short-term non-firm</t>
  </si>
  <si>
    <t>Short term firm and non-firm</t>
  </si>
  <si>
    <r>
      <rPr>
        <sz val="11"/>
        <color theme="1"/>
        <rFont val="Arial"/>
        <family val="2"/>
      </rPr>
      <t xml:space="preserve">Att. 3 input: </t>
    </r>
    <r>
      <rPr>
        <b/>
        <sz val="11"/>
        <color theme="1"/>
        <rFont val="Arial"/>
        <family val="2"/>
      </rPr>
      <t>Total short term-firm and non-firm revenue</t>
    </r>
  </si>
  <si>
    <t>Attachment 14 - Cost of Capital Detail</t>
  </si>
  <si>
    <r>
      <rPr>
        <b/>
        <sz val="10"/>
        <rFont val="Arial"/>
        <family val="2"/>
      </rPr>
      <t>Prior Year</t>
    </r>
    <r>
      <rPr>
        <sz val="10"/>
        <rFont val="Arial"/>
        <family val="2"/>
      </rPr>
      <t xml:space="preserve"> (month end)</t>
    </r>
  </si>
  <si>
    <r>
      <rPr>
        <b/>
        <sz val="10"/>
        <rFont val="Arial"/>
        <family val="2"/>
      </rPr>
      <t xml:space="preserve">Current Year </t>
    </r>
    <r>
      <rPr>
        <sz val="10"/>
        <rFont val="Arial"/>
        <family val="2"/>
      </rPr>
      <t>(month end)</t>
    </r>
  </si>
  <si>
    <t>Appendix A Line</t>
  </si>
  <si>
    <r>
      <t xml:space="preserve">Operation 
</t>
    </r>
    <r>
      <rPr>
        <sz val="10"/>
        <rFont val="Arial"/>
        <family val="2"/>
      </rPr>
      <t>to apply to monthly input columns at right</t>
    </r>
  </si>
  <si>
    <r>
      <t xml:space="preserve">Appendix A input value 
</t>
    </r>
    <r>
      <rPr>
        <sz val="10"/>
        <rFont val="Arial"/>
        <family val="2"/>
      </rPr>
      <t>(result of operation specified in column to left on monthly data)</t>
    </r>
  </si>
  <si>
    <r>
      <t xml:space="preserve">Description </t>
    </r>
    <r>
      <rPr>
        <sz val="10"/>
        <rFont val="Arial"/>
        <family val="2"/>
      </rPr>
      <t>(Account)</t>
    </r>
  </si>
  <si>
    <t>13-month average</t>
  </si>
  <si>
    <t>Bonds (221)</t>
  </si>
  <si>
    <t>Form 1, pg 112, ln 18 c,d</t>
  </si>
  <si>
    <t>Reacquired Bonds (222)</t>
  </si>
  <si>
    <t>Form 1, pg 112, ln 19 c,d</t>
  </si>
  <si>
    <t>Advances from Associated Companies (223)</t>
  </si>
  <si>
    <t>Form 1, pg 256, various ln, col a,b</t>
  </si>
  <si>
    <t>Other Long-Term Debt (224)</t>
  </si>
  <si>
    <t>Form 1, pg 112, ln 21 c,d</t>
  </si>
  <si>
    <t>Unamortized Discount (226)</t>
  </si>
  <si>
    <t>Form 1, pg 112, ln 23 c,d</t>
  </si>
  <si>
    <t>Unamortized Debt Expense (181)</t>
  </si>
  <si>
    <t>Form 1, pg 111, ln 69 c,d</t>
  </si>
  <si>
    <t>Unamortized Loss On Reacquired Debt (189)</t>
  </si>
  <si>
    <t>Form 1, pg 111, ln 81 c,d</t>
  </si>
  <si>
    <t>Unamortized Premium (225)</t>
  </si>
  <si>
    <t>Form 1, pg 112, ln 22 c,d</t>
  </si>
  <si>
    <t>Unamortized Gain On Reacquired Debt (257)</t>
  </si>
  <si>
    <t>Form 1, pg 113, ln 61 c,d</t>
  </si>
  <si>
    <t>12-month sum</t>
  </si>
  <si>
    <r>
      <t xml:space="preserve">Interest on Long Term (427) and Associated Companies (430) 
</t>
    </r>
    <r>
      <rPr>
        <b/>
        <sz val="10"/>
        <color rgb="FFFF0000"/>
        <rFont val="Arial"/>
        <family val="2"/>
      </rPr>
      <t>LONG TERM ONLY</t>
    </r>
  </si>
  <si>
    <t>Hedging Expense (as noted in Appendix A, Note R)</t>
  </si>
  <si>
    <t>Company records</t>
  </si>
  <si>
    <t>Amort Debt Discount and Expense (428)</t>
  </si>
  <si>
    <t>Form 1, pg 117, ln 63 c (portion)</t>
  </si>
  <si>
    <t>Amort Loss on Reacquired Debt (428.1)</t>
  </si>
  <si>
    <t>Form 1, pg 117, ln 64 c (portion)</t>
  </si>
  <si>
    <t>Amort Premium (429)</t>
  </si>
  <si>
    <t>Form 1, pg 117, ln 65 c (portion)</t>
  </si>
  <si>
    <t>Amort Gain on Reacquired Debt (429.1)</t>
  </si>
  <si>
    <t>Form 1, pg 117, ln 66 c (portion)</t>
  </si>
  <si>
    <t>Preferred Stock Issued (204)</t>
  </si>
  <si>
    <t>Form 1, pg 112, ln 3 c, d</t>
  </si>
  <si>
    <r>
      <t xml:space="preserve">Reacquired Capital Stock (217) </t>
    </r>
    <r>
      <rPr>
        <b/>
        <sz val="10"/>
        <color rgb="FFFF0000"/>
        <rFont val="Arial"/>
        <family val="2"/>
      </rPr>
      <t>PREFERRED ONLY</t>
    </r>
  </si>
  <si>
    <t>Form 1, pg 112, ln 13 c, d (portion)</t>
  </si>
  <si>
    <t>Premium on Preferred Stock (207)</t>
  </si>
  <si>
    <t>Form 1, pg 112, ln 6 c, d (portion)</t>
  </si>
  <si>
    <r>
      <t xml:space="preserve">Other Paid-In Capital (207-208) </t>
    </r>
    <r>
      <rPr>
        <b/>
        <sz val="10"/>
        <color rgb="FFFF0000"/>
        <rFont val="Arial"/>
        <family val="2"/>
      </rPr>
      <t>PREFERRED ONLY</t>
    </r>
  </si>
  <si>
    <t>Form 1, pg 112, ln 7 c, d (portion)</t>
  </si>
  <si>
    <r>
      <t xml:space="preserve">Discount on Capital Stock (213) </t>
    </r>
    <r>
      <rPr>
        <b/>
        <sz val="10"/>
        <color rgb="FFFF0000"/>
        <rFont val="Arial"/>
        <family val="2"/>
      </rPr>
      <t>PREFERRED ONLY</t>
    </r>
  </si>
  <si>
    <t>Form 1, pg 112, ln 9 c, d (portion)</t>
  </si>
  <si>
    <r>
      <t xml:space="preserve">Capital Stock Expense (214) </t>
    </r>
    <r>
      <rPr>
        <b/>
        <sz val="10"/>
        <color rgb="FFFF0000"/>
        <rFont val="Arial"/>
        <family val="2"/>
      </rPr>
      <t>PREFERRED ONLY</t>
    </r>
  </si>
  <si>
    <t>Form 1, pg 112, ln 10 c, d (portion)</t>
  </si>
  <si>
    <t>12-month sum 
(enter positive)</t>
  </si>
  <si>
    <t>Form 1, pg 118, ln 29 c</t>
  </si>
  <si>
    <t>Total Proprietary Capital</t>
  </si>
  <si>
    <t>Form 1, pg 112, ln 16 c,d</t>
  </si>
  <si>
    <t>Unappropriated Undistributed Subsidiary Earnings (216.1)</t>
  </si>
  <si>
    <t>Form 1, pg 112, ln 12 c, d</t>
  </si>
  <si>
    <t>13-month average 
(enter negative)</t>
  </si>
  <si>
    <t>Accumulated Other Comprehensive Income (219)</t>
  </si>
  <si>
    <t>Form 1, pg 112, ln 15 c, d</t>
  </si>
  <si>
    <t>Common Stock Issued (201)</t>
  </si>
  <si>
    <t>Other Paid-In Capital (211)</t>
  </si>
  <si>
    <t>Interest Locks</t>
  </si>
  <si>
    <t>Unamortized balance for gains and losses on hedges.</t>
  </si>
  <si>
    <t>(Note R)</t>
  </si>
  <si>
    <t>Annual amortization for gains and losses on hedges.</t>
  </si>
  <si>
    <t>Attachment 15 - GSU and Associated Equipment</t>
  </si>
  <si>
    <t>Asset Class 353.40 - GSU (generator step-up) and Associated Equipment &amp; 
Asset Class 345 - Accessory Electrical Equipment</t>
  </si>
  <si>
    <t>353.4 Class Assets</t>
  </si>
  <si>
    <t>Acquisition value</t>
  </si>
  <si>
    <t>Total 353.4 Class Assets</t>
  </si>
  <si>
    <t xml:space="preserve">Wind Generation Facilities </t>
  </si>
  <si>
    <t>&lt;-- This item includes all Interconnection Customer Interconnection Facilities (ICIFs) and EIM assets that should be excluded from the rate base.</t>
  </si>
  <si>
    <t>34.5 kV Facilities</t>
  </si>
  <si>
    <r>
      <rPr>
        <sz val="10"/>
        <rFont val="Arial"/>
        <family val="2"/>
      </rPr>
      <t xml:space="preserve">Appendix A input: </t>
    </r>
    <r>
      <rPr>
        <b/>
        <sz val="10"/>
        <rFont val="Arial"/>
        <family val="2"/>
      </rPr>
      <t>Total Assets to Exclude</t>
    </r>
  </si>
  <si>
    <t>&lt;-- Appendix A input.</t>
  </si>
  <si>
    <t>Attachment 16 - Unfunded Reserves</t>
  </si>
  <si>
    <t>Accounts with Unfunded Reserve Balances contributed by customers</t>
  </si>
  <si>
    <t>(Dollar values in millions)</t>
  </si>
  <si>
    <t>Accrued Liability:</t>
  </si>
  <si>
    <t>Charged to:</t>
  </si>
  <si>
    <t xml:space="preserve">Prior year </t>
  </si>
  <si>
    <t>Current Year &gt;&gt;</t>
  </si>
  <si>
    <t>By Category</t>
  </si>
  <si>
    <t>Account Calculation</t>
  </si>
  <si>
    <t>Reserve type</t>
  </si>
  <si>
    <t>SAP Account</t>
  </si>
  <si>
    <r>
      <t xml:space="preserve">December 
</t>
    </r>
    <r>
      <rPr>
        <sz val="10"/>
        <rFont val="Arial"/>
        <family val="2"/>
      </rPr>
      <t>month end</t>
    </r>
  </si>
  <si>
    <r>
      <t xml:space="preserve">January 
</t>
    </r>
    <r>
      <rPr>
        <sz val="10"/>
        <rFont val="Arial"/>
        <family val="2"/>
      </rPr>
      <t>month end</t>
    </r>
  </si>
  <si>
    <r>
      <t xml:space="preserve">February 
</t>
    </r>
    <r>
      <rPr>
        <sz val="10"/>
        <rFont val="Arial"/>
        <family val="2"/>
      </rPr>
      <t>month end</t>
    </r>
  </si>
  <si>
    <r>
      <t xml:space="preserve">March 
</t>
    </r>
    <r>
      <rPr>
        <sz val="10"/>
        <rFont val="Arial"/>
        <family val="2"/>
      </rPr>
      <t>month end</t>
    </r>
  </si>
  <si>
    <r>
      <t xml:space="preserve">April 
</t>
    </r>
    <r>
      <rPr>
        <sz val="10"/>
        <rFont val="Arial"/>
        <family val="2"/>
      </rPr>
      <t>month end</t>
    </r>
  </si>
  <si>
    <r>
      <t xml:space="preserve">May 
</t>
    </r>
    <r>
      <rPr>
        <sz val="10"/>
        <rFont val="Arial"/>
        <family val="2"/>
      </rPr>
      <t>month end</t>
    </r>
  </si>
  <si>
    <r>
      <t xml:space="preserve">June 
</t>
    </r>
    <r>
      <rPr>
        <sz val="10"/>
        <rFont val="Arial"/>
        <family val="2"/>
      </rPr>
      <t>month end</t>
    </r>
  </si>
  <si>
    <r>
      <t xml:space="preserve">July 
</t>
    </r>
    <r>
      <rPr>
        <sz val="10"/>
        <rFont val="Arial"/>
        <family val="2"/>
      </rPr>
      <t>month end</t>
    </r>
  </si>
  <si>
    <r>
      <t xml:space="preserve">August 
</t>
    </r>
    <r>
      <rPr>
        <sz val="10"/>
        <rFont val="Arial"/>
        <family val="2"/>
      </rPr>
      <t>month end</t>
    </r>
  </si>
  <si>
    <r>
      <t xml:space="preserve">September
</t>
    </r>
    <r>
      <rPr>
        <sz val="10"/>
        <rFont val="Arial"/>
        <family val="2"/>
      </rPr>
      <t>month end</t>
    </r>
  </si>
  <si>
    <r>
      <t xml:space="preserve">October
</t>
    </r>
    <r>
      <rPr>
        <sz val="10"/>
        <rFont val="Arial"/>
        <family val="2"/>
      </rPr>
      <t>month end</t>
    </r>
  </si>
  <si>
    <r>
      <t xml:space="preserve">November 
</t>
    </r>
    <r>
      <rPr>
        <sz val="10"/>
        <rFont val="Arial"/>
        <family val="2"/>
      </rPr>
      <t>month end</t>
    </r>
  </si>
  <si>
    <t>Plant</t>
  </si>
  <si>
    <t>Total Transmission-related Unfunded Reserves</t>
  </si>
  <si>
    <t>Totals</t>
  </si>
  <si>
    <t>Total ($ millions)</t>
  </si>
  <si>
    <r>
      <t xml:space="preserve">Attachment 17 - Post-Retirement Benefits Other Than Pensions </t>
    </r>
    <r>
      <rPr>
        <sz val="12"/>
        <rFont val="Arial"/>
        <family val="2"/>
      </rPr>
      <t>(PBOP)</t>
    </r>
  </si>
  <si>
    <t>FERC Acct</t>
  </si>
  <si>
    <r>
      <rPr>
        <sz val="10"/>
        <rFont val="Arial"/>
        <family val="2"/>
      </rPr>
      <t xml:space="preserve">Attachment 5 input: </t>
    </r>
    <r>
      <rPr>
        <b/>
        <sz val="10"/>
        <rFont val="Arial"/>
        <family val="2"/>
      </rPr>
      <t>Total PBOP</t>
    </r>
  </si>
  <si>
    <t>Notes:</t>
  </si>
  <si>
    <t>Amounts are net of joint-venture cutback, do not</t>
  </si>
  <si>
    <t>include expenses for the mining companies and do</t>
  </si>
  <si>
    <t>not reflect amounts capitalized through activity rates</t>
  </si>
  <si>
    <t>or capital surcharge.</t>
  </si>
  <si>
    <t>assumptions.</t>
  </si>
  <si>
    <t xml:space="preserve">Plant-in-service additions by month </t>
  </si>
  <si>
    <t>Total (Segments A-H)</t>
  </si>
  <si>
    <t>Energy Gateway Projects (IR=NN)</t>
  </si>
  <si>
    <t>FERC BS Account : 101/ 106 only</t>
  </si>
  <si>
    <t>Excludes $714,679.22 written off October 2011 for TORM/2008/C/002/10037321=Hemingway Capt Jack PG&amp;E Agreement</t>
  </si>
  <si>
    <t>Excludes TORM/2008/C/002-"Hemingway Capt Jack Transmission Line" Mar-Apr 2013 account 106 acivity</t>
  </si>
  <si>
    <t>Montlhly dep rate</t>
  </si>
  <si>
    <t>Mo</t>
  </si>
  <si>
    <t>Energy Gateway (EG) Transmission</t>
  </si>
  <si>
    <t>Distribution</t>
  </si>
  <si>
    <t>Intangible</t>
  </si>
  <si>
    <t>Grand Total</t>
  </si>
  <si>
    <t>Cumulative EG transmission total</t>
  </si>
  <si>
    <t>EG depreciation expense</t>
  </si>
  <si>
    <t>EG accumulated depreciation</t>
  </si>
  <si>
    <t>EG net plant</t>
  </si>
  <si>
    <t>EG 13-month balance</t>
  </si>
  <si>
    <t xml:space="preserve">Inputs  
</t>
  </si>
  <si>
    <t xml:space="preserve">Fixed Inputs </t>
  </si>
  <si>
    <t>Description, account, classification</t>
  </si>
  <si>
    <t>Linked description, account, classification</t>
  </si>
  <si>
    <t>Input value</t>
  </si>
  <si>
    <t>Location in model</t>
  </si>
  <si>
    <t>Line number/
cell reference</t>
  </si>
  <si>
    <t>Worksheet</t>
  </si>
  <si>
    <t>Common cost of equity</t>
  </si>
  <si>
    <t>fixed</t>
  </si>
  <si>
    <t>'Appendix A'!$H$212</t>
  </si>
  <si>
    <t>Fixed settlement value</t>
  </si>
  <si>
    <t>ROE basis point adder for Energy Gateway projects</t>
  </si>
  <si>
    <t>='Att 7 - Trans Enhance Charge'</t>
  </si>
  <si>
    <t>Att 7 - Transmission Enhancement Charge</t>
  </si>
  <si>
    <t>Docket No. EL08-75-00 (10/21/2008)</t>
  </si>
  <si>
    <t>='Att 3 - Revenue Credits'!$E$41</t>
  </si>
  <si>
    <t>Att 3 - Revenue Credits</t>
  </si>
  <si>
    <t>Fixed settlement value and a product of PacifiCorp underbuild attachments to transmission poles or towers of 46,314 multiplied by $12.00 per pole.</t>
  </si>
  <si>
    <t>Cash Working Capital - 1/8 rule</t>
  </si>
  <si>
    <t>'Appendix A'!$H$98</t>
  </si>
  <si>
    <t>Settlement value: 1/8 now zero absent filed lead-lag study</t>
  </si>
  <si>
    <t>FERC Form No. 1 Data</t>
  </si>
  <si>
    <t>FERC Form 1 reference</t>
  </si>
  <si>
    <t>Check</t>
  </si>
  <si>
    <t>Model worksheet</t>
  </si>
  <si>
    <t>Label</t>
  </si>
  <si>
    <t>Data_description</t>
  </si>
  <si>
    <t>Inputs_EndYrBal_prior</t>
  </si>
  <si>
    <t>Inputs_EndYrBal</t>
  </si>
  <si>
    <t>Inputs_FF1_Map</t>
  </si>
  <si>
    <t>Address where used</t>
  </si>
  <si>
    <t>Value/reference check</t>
  </si>
  <si>
    <t>='ATT 2 - Other Taxes'!$D$45</t>
  </si>
  <si>
    <t>Att 2 - Other Taxes</t>
  </si>
  <si>
    <t xml:space="preserve">Informational. </t>
  </si>
  <si>
    <t>Att 5 - Cost Support</t>
  </si>
  <si>
    <t>='Att 10 - Acc Amort of PIS'!$E$13</t>
  </si>
  <si>
    <t>Att 10 - Acc Amort of PIS</t>
  </si>
  <si>
    <t>Change sign</t>
  </si>
  <si>
    <t>Plant Held for Future Use (Account 105)</t>
  </si>
  <si>
    <t>Att 5 - Cost Support, Att 12 - Plant held for future use</t>
  </si>
  <si>
    <t>Total is informational only</t>
  </si>
  <si>
    <t>='ATT 5 - Cost Support'!$G$39</t>
  </si>
  <si>
    <t>ATT 5 - Cost Support</t>
  </si>
  <si>
    <t>Used as check for input value</t>
  </si>
  <si>
    <t>='ATT 5 - Cost Support'!$G$40</t>
  </si>
  <si>
    <t>='ATT 5 - Cost Support'!$G$49</t>
  </si>
  <si>
    <t>='ATT 5 - Cost Support'!$G$61</t>
  </si>
  <si>
    <t>='ATT 5 - Cost Support'!$G$7</t>
  </si>
  <si>
    <t>='ATT 5 - Cost Support'!$G$19</t>
  </si>
  <si>
    <t>='ATT 5 - Cost Support'!$G$23</t>
  </si>
  <si>
    <t>='ATT 5 - Cost Support'!$G$35</t>
  </si>
  <si>
    <t>='ATT 5 - Cost Support'!$G$44</t>
  </si>
  <si>
    <t>='ATT 5 - Cost Support'!$G$45</t>
  </si>
  <si>
    <t>='ATT 5 - Cost Support'!$G$68</t>
  </si>
  <si>
    <r>
      <t>Used as check (</t>
    </r>
    <r>
      <rPr>
        <b/>
        <sz val="10"/>
        <color rgb="FF0000FF"/>
        <rFont val="Arial"/>
        <family val="2"/>
      </rPr>
      <t>valid for Projection only</t>
    </r>
    <r>
      <rPr>
        <sz val="10"/>
        <color rgb="FF0000FF"/>
        <rFont val="Arial"/>
        <family val="2"/>
      </rPr>
      <t>)</t>
    </r>
  </si>
  <si>
    <t>Electric Plant Purchased</t>
  </si>
  <si>
    <t>='ATT 5 - Cost Support'!$G$64</t>
  </si>
  <si>
    <t>='ATT 5 - Cost Support'!$G$65</t>
  </si>
  <si>
    <t>='ATT 5 - Cost Support'!$G$87</t>
  </si>
  <si>
    <t>='ATT 5 - Cost Support'!$G$103</t>
  </si>
  <si>
    <t>='ATT 5 - Cost Support'!$G$108</t>
  </si>
  <si>
    <t>='ATT 5 - Cost Support'!$G$113</t>
  </si>
  <si>
    <t>219.20c</t>
  </si>
  <si>
    <t>Component of total below</t>
  </si>
  <si>
    <t>219.21c</t>
  </si>
  <si>
    <t>219.22c</t>
  </si>
  <si>
    <t>219.23c</t>
  </si>
  <si>
    <t>219.24c</t>
  </si>
  <si>
    <t>='ATT 5 - Cost Support'!$G$129</t>
  </si>
  <si>
    <t xml:space="preserve">Used as check </t>
  </si>
  <si>
    <t>='ATT 5 - Cost Support'!$H$146</t>
  </si>
  <si>
    <t>Materials and Supplies section</t>
  </si>
  <si>
    <t>='ATT 5 - Cost Support'!$H$150</t>
  </si>
  <si>
    <t>='ATT 5 - Cost Support'!$H$142</t>
  </si>
  <si>
    <t>Account 190 Subtotal - p234</t>
  </si>
  <si>
    <t>234.18b</t>
  </si>
  <si>
    <t>Att 1</t>
  </si>
  <si>
    <t>Used as check for input values.  Asset on BS.</t>
  </si>
  <si>
    <t>234.18c</t>
  </si>
  <si>
    <t>Att 1a</t>
  </si>
  <si>
    <t>272.17b</t>
  </si>
  <si>
    <t>Used as check for input values.  Liability on BS =&gt; change sign.</t>
  </si>
  <si>
    <t>272.17k</t>
  </si>
  <si>
    <t>274.9b</t>
  </si>
  <si>
    <t>274.9k</t>
  </si>
  <si>
    <t>276.19b</t>
  </si>
  <si>
    <t>276.19k</t>
  </si>
  <si>
    <t>Adj to transmission O&amp;M section</t>
  </si>
  <si>
    <t>Adj to A&amp;G expense section</t>
  </si>
  <si>
    <t>='Appendix A'!$H$122</t>
  </si>
  <si>
    <t>Depreciation Expense section</t>
  </si>
  <si>
    <t>='Appendix A'!$H$12</t>
  </si>
  <si>
    <t>='Appendix A'!$H$14</t>
  </si>
  <si>
    <t>='Appendix A'!$H$15</t>
  </si>
  <si>
    <r>
      <t xml:space="preserve">Data from Company records </t>
    </r>
    <r>
      <rPr>
        <sz val="11"/>
        <color indexed="10"/>
        <rFont val="Arial"/>
        <family val="2"/>
      </rPr>
      <t>(Manual Input)</t>
    </r>
  </si>
  <si>
    <t>Model worksheet input</t>
  </si>
  <si>
    <t>Prior year values</t>
  </si>
  <si>
    <t>Current year values</t>
  </si>
  <si>
    <t>Facility Credits under Section 30.9</t>
  </si>
  <si>
    <t>Att 5 - Cost Support, Line 166 "Facility Credits under Section 30.9 of the OATT"</t>
  </si>
  <si>
    <t>Interest on Network Upgrade Balance</t>
  </si>
  <si>
    <t>Att 5 - Cost Support, Line 168 "Interest on Network Upgrade Facilities"</t>
  </si>
  <si>
    <t>Att 5 - Cost Support, Line 50 "Network Upgrade Balance"</t>
  </si>
  <si>
    <t>Federal income tax rate</t>
  </si>
  <si>
    <t>Attachment A, Line 128 "FIT = Federal Income Tax Rate"</t>
  </si>
  <si>
    <t>State income tax rate</t>
  </si>
  <si>
    <t>Attachment A, Line 129 "SIT = State Income Tax Rate or Composite"</t>
  </si>
  <si>
    <t>Percent of federal income tax deductible for state purposes</t>
  </si>
  <si>
    <t>Attachment A, Line 130</t>
  </si>
  <si>
    <t>Attachment 3, Line 1 "Rent from Electric Property - Transmission Related "</t>
  </si>
  <si>
    <t>Company Records: Sum of SAP GL accounts #301863 and #301872 (PC 1192).</t>
  </si>
  <si>
    <t>Fiber Optic Leases</t>
  </si>
  <si>
    <t>WECC phase shifting fee (Form No. 1: 300.21b footnote)</t>
  </si>
  <si>
    <t>Attachment 3, Line 10 "Facilities Charges including Interconnection Agreements"</t>
  </si>
  <si>
    <t xml:space="preserve">Based on the Resolution of Preliminary Challenges to 2013 Annual Update, PacifiCorp agreed to include the WECC phase shifting fees for a reduction of loop flows on transmission assets as a revenue credit on Attachment 3 of the Formula. </t>
  </si>
  <si>
    <t>Gen Interconnect and TSR study revenues(Form No. 1: 300.21b footnote)</t>
  </si>
  <si>
    <t>Based on the Resolution of Preliminary Challenges to 2013 Annual Update, PacifiCorp agreed to include as a revenue credit on Attachment 3 of the Formula the reimbursements for generator interconnection studies booked to Account 456 as the associated costs are booked to Account 561.7 and recovered in transmission ATRR.</t>
  </si>
  <si>
    <t>WY Service territory fixed cost recovery fee (Form No. 1: 300.21b footnote)</t>
  </si>
  <si>
    <t xml:space="preserve">Based on the Resolution of Preliminary Challenges to 2013 Annual Update, PacifiCorp agreed to include a portion of the service territory fixed cost recovery fee received from a former retail customer in Wyoming as a revenue credit on Attachment 3 of the Formula. The FERC Form No. 1 value in footnotes to page 300  for the service territory fixed cost recovery fee is multiplied by a share of target revenue requirement functionalized to transmission in Wyoming.  </t>
  </si>
  <si>
    <t>Adjustment to exclude the write-offs that were booked to Account 573</t>
  </si>
  <si>
    <t>Att 5 - Cost Support, Line 53 "Transmission O&amp;M adjustment"</t>
  </si>
  <si>
    <t xml:space="preserve">Based on the Resolution of Preliminary Challenges to the 2013 Annual Update, PacifiCorp agreed to exclude the write-offs that were booked to FERC Account 573 from the transmission revenue requirement. </t>
  </si>
  <si>
    <t>Transmission imbalance penalty refunds in FERC 566</t>
  </si>
  <si>
    <t>Company Records: Sum of SAP GL 505962 &amp; 505964 (FERC 566).</t>
  </si>
  <si>
    <t>Based on the Resolution of Preliminary Challenges to 2013 Annual Update, PacifiCorp agreed to exclude the expenses associated with the refunds for transmission imbalance penalties booked to FERC Account 566 from the transmission ATRR.</t>
  </si>
  <si>
    <t>EIM: Capital Cost of upgrade of substation and power plant meters to 5-min memory capability.</t>
  </si>
  <si>
    <t>Attachment 15 - GSU and Associated Equipment, "Wind Generation Facilities adjustment"</t>
  </si>
  <si>
    <t>Company Records: FERC Account 353 details</t>
  </si>
  <si>
    <t>During the stakeholder process in PacifiCorp’s EIM filing in Docket No. ER14-1578, PacifiCorp agreed to remove the EIM-related capital costs for substation and power plant meter upgrades to five-minute memory capability booked to FERC Account 353 from its transmission rate base. This capital cost is added to the list of assets which are excluded from the transmission plant in-service on line 147 of Appendix A of the Formula.</t>
  </si>
  <si>
    <t>EIM: Transmission allocation of General (FERC accounts 391 and 397) and Intangible (FERC account 303) assets attributable to ESM participation in EIM and excluded from ATRR.</t>
  </si>
  <si>
    <t xml:space="preserve">Company Records: EIM assets </t>
  </si>
  <si>
    <t>Interconnection Customer Interconnection Facilities (ICIFs).</t>
  </si>
  <si>
    <t>Exclude transmission facilities from Transmission Plant in-Service as these charges are directly assigned to non-transmission customers.</t>
  </si>
  <si>
    <t>FERC Form 1 Data Consolidation</t>
  </si>
  <si>
    <t>ID</t>
  </si>
  <si>
    <t>ff1_page</t>
  </si>
  <si>
    <t>ff1_line</t>
  </si>
  <si>
    <t>ff1_col</t>
  </si>
  <si>
    <t>ff1_map</t>
  </si>
  <si>
    <t>column_name</t>
  </si>
  <si>
    <t>FERC 408.1  - Taxes Other than Income</t>
  </si>
  <si>
    <t>c</t>
  </si>
  <si>
    <t>FERC 411.4 - Net ITC adjustment</t>
  </si>
  <si>
    <t xml:space="preserve"> Amort of Other Utility Plant</t>
  </si>
  <si>
    <t>FERC 303 - Misc intangible plant (BoY)</t>
  </si>
  <si>
    <t>b</t>
  </si>
  <si>
    <t>begin_yr_bal</t>
  </si>
  <si>
    <t>FERC 303 - Misc intangible plant (EoY)</t>
  </si>
  <si>
    <t>yr_end_bal</t>
  </si>
  <si>
    <t>Total production plant (BoY)</t>
  </si>
  <si>
    <t>Total production plant (EoY)</t>
  </si>
  <si>
    <t>Total transmission plant (BoY)</t>
  </si>
  <si>
    <t>Total transmission plant (EoY)</t>
  </si>
  <si>
    <t>Total distribution plant (BoY)</t>
  </si>
  <si>
    <t>Total distribution plant (EoY)</t>
  </si>
  <si>
    <t>Total general plant (BoY)</t>
  </si>
  <si>
    <t>Total general plant (EoY)</t>
  </si>
  <si>
    <t>Electric plant sold</t>
  </si>
  <si>
    <t>Total electric plant in service (BoY)</t>
  </si>
  <si>
    <t>Total electric plant in service (EoY)</t>
  </si>
  <si>
    <t>Electric plant held for future use</t>
  </si>
  <si>
    <t>d</t>
  </si>
  <si>
    <t>Accum Dep - Steam production</t>
  </si>
  <si>
    <t>Accum Dep - Nuclear production</t>
  </si>
  <si>
    <t>Accum Dep - Hydro (conventional) production</t>
  </si>
  <si>
    <t>Accum Dep - Hydro (pumped storage) production</t>
  </si>
  <si>
    <t>Accum Dep - Other production</t>
  </si>
  <si>
    <t>Accum Dep - Transmission</t>
  </si>
  <si>
    <t>Accum Dep - Distribution</t>
  </si>
  <si>
    <t>Accum Dep - General</t>
  </si>
  <si>
    <t>Accum Dep - Total</t>
  </si>
  <si>
    <t>Materials and supplies - est construction (EoY)</t>
  </si>
  <si>
    <t>Materials and supplies - transmission (EoY)</t>
  </si>
  <si>
    <t>FERC 163 - Undistributed stores expense</t>
  </si>
  <si>
    <t>FERC 190 - ADIT (BoY)</t>
  </si>
  <si>
    <t>FERC 190 - ADIT (EoY)</t>
  </si>
  <si>
    <t>FERC 281 - ADIT (BoY)</t>
  </si>
  <si>
    <t>bgn_yr_bal</t>
  </si>
  <si>
    <t>FERC 281 - ADIT (EoY)</t>
  </si>
  <si>
    <t>k</t>
  </si>
  <si>
    <t>end_yr_bal</t>
  </si>
  <si>
    <t>FERC 282 - ADIT (BoY)</t>
  </si>
  <si>
    <t>FERC 282 - ADIT (EoY)</t>
  </si>
  <si>
    <t>FERC 283 - ADIT (BoY)</t>
  </si>
  <si>
    <t>FERC 283 - ADIT (EoY)</t>
  </si>
  <si>
    <t>FERC 561 - Load Dispatch (LD)</t>
  </si>
  <si>
    <t>crnt_yr_amt</t>
  </si>
  <si>
    <t>FERC 561.1 - LD reliability</t>
  </si>
  <si>
    <t>FERC 561.2 - LD monitor operate</t>
  </si>
  <si>
    <t>FERC 561.3 - LD service scheduling</t>
  </si>
  <si>
    <t>FERC 561.4 - Sched, sys control, dispatch</t>
  </si>
  <si>
    <t>FERC 561.5 - Reliability, plan, standards</t>
  </si>
  <si>
    <t>FERC 561.8 - Reliability, plan, standards services</t>
  </si>
  <si>
    <t>FERC 565  - Transmission by others</t>
  </si>
  <si>
    <t>Total Transmission Expenses</t>
  </si>
  <si>
    <t>FERC 924 - Property Insurance</t>
  </si>
  <si>
    <t>FERC 928 - Regulatory Commission Expenses</t>
  </si>
  <si>
    <t>FERC 930.1 - General Advertising Expenses</t>
  </si>
  <si>
    <t>Total A&amp;G Expenses</t>
  </si>
  <si>
    <t>Industry association dues</t>
  </si>
  <si>
    <t>Amort - Intangible, ltd term (FERC 404)</t>
  </si>
  <si>
    <t>Amort exp - Intangible (FERC 405)</t>
  </si>
  <si>
    <t>Dep exp - Transmission (FERC 403)</t>
  </si>
  <si>
    <t>Dep exp - Transmission, ltd term (FERC 404)</t>
  </si>
  <si>
    <t>Dep exp - General (FERC 403)</t>
  </si>
  <si>
    <t>Dep exp - General, ltd term (FERC 404)</t>
  </si>
  <si>
    <t>Transmisison wages and salaries</t>
  </si>
  <si>
    <t>A&amp;G wages and salaries</t>
  </si>
  <si>
    <t>Total O&amp;M salaries</t>
  </si>
  <si>
    <t>Company Records: SAP FERC 573 details (enter negative value)</t>
  </si>
  <si>
    <t xml:space="preserve">Item </t>
  </si>
  <si>
    <t>Cell/range</t>
  </si>
  <si>
    <t>Pacific Northwest Utilities Conference Committee</t>
  </si>
  <si>
    <t>FERC Form No. 1 page 335</t>
  </si>
  <si>
    <t xml:space="preserve">Please refer to the 'Material Changes Summary' filed with 2018 annual update </t>
  </si>
  <si>
    <t>Total expense was a net benefit (negative) for 2014-2017.</t>
  </si>
  <si>
    <t>RA - Solar ITC Basis Adjustment - Gross Up</t>
  </si>
  <si>
    <t>RA - Transportation Electrification Pilot - CA</t>
  </si>
  <si>
    <t>Fuel Cost Adjustment</t>
  </si>
  <si>
    <t>g23</t>
  </si>
  <si>
    <t>f18</t>
  </si>
  <si>
    <t>g24</t>
  </si>
  <si>
    <t>g25</t>
  </si>
  <si>
    <t xml:space="preserve">Account 281 Subtotal - p272 </t>
  </si>
  <si>
    <t>Account 282 Subtotal - p274</t>
  </si>
  <si>
    <t xml:space="preserve">Account 282 Subtotal - p274 </t>
  </si>
  <si>
    <t>Account 283 Subtotal - p276</t>
  </si>
  <si>
    <t>OTHER DEDUCTIONS</t>
  </si>
  <si>
    <t>STEAM EXPENSES</t>
  </si>
  <si>
    <t>MISC STEAM PWR EXP</t>
  </si>
  <si>
    <t>MISC STEAM JVA CR</t>
  </si>
  <si>
    <t>MANT OF BOILR PLNT</t>
  </si>
  <si>
    <t>MAINT MISC STM PLN</t>
  </si>
  <si>
    <t>OPER SUPERV &amp; ENG</t>
  </si>
  <si>
    <t>MSC HYD PWR GEN EX</t>
  </si>
  <si>
    <t>GENERATION EXP</t>
  </si>
  <si>
    <t>MIS OTH PWR GEN EX</t>
  </si>
  <si>
    <t>MNT GEN &amp; ELEC PLT</t>
  </si>
  <si>
    <t>SYS CTRL &amp; LD DISP</t>
  </si>
  <si>
    <t>OTHER EXPENSES</t>
  </si>
  <si>
    <t>LD - MONITOR &amp; OPER</t>
  </si>
  <si>
    <t>REL PLAN &amp; STDS DEV</t>
  </si>
  <si>
    <t>MNT SUPERV &amp; ENG</t>
  </si>
  <si>
    <t>MAINT OVHD LINES</t>
  </si>
  <si>
    <t>LOAD DISPATCHING</t>
  </si>
  <si>
    <t>STRT LGHT-SGNL SYS</t>
  </si>
  <si>
    <t>MSC DISTR EXPENSES</t>
  </si>
  <si>
    <t>MAINT SUPERV &amp; ENG</t>
  </si>
  <si>
    <t>MAINT STAT EQUIP</t>
  </si>
  <si>
    <t>MAINT LINE TRNSFRM</t>
  </si>
  <si>
    <t>MNT OF METERS</t>
  </si>
  <si>
    <t>MNT MISC DIST PLNT</t>
  </si>
  <si>
    <t>LBR CLR - RMP</t>
  </si>
  <si>
    <t>LBR CLR - PACPWR</t>
  </si>
  <si>
    <t>Stores Exp CLR - RMP</t>
  </si>
  <si>
    <t>Stores Exp CLR - PP</t>
  </si>
  <si>
    <t>SUPRV (CUST ACCT)</t>
  </si>
  <si>
    <t>METER READING EXP</t>
  </si>
  <si>
    <t>CUST RCRD/COLL EXP</t>
  </si>
  <si>
    <t>CUST RCRD/CUST SYS</t>
  </si>
  <si>
    <t>CUST ACCTG/BILL</t>
  </si>
  <si>
    <t>CUST ACCTG/COLL</t>
  </si>
  <si>
    <t>CUST ACCTG/COMMON</t>
  </si>
  <si>
    <t>DSM DIRECT</t>
  </si>
  <si>
    <t>CUST SERV</t>
  </si>
  <si>
    <t>INFOR/INSTRCT ADV</t>
  </si>
  <si>
    <t>ADMIN &amp; GEN SALARY</t>
  </si>
  <si>
    <t>C&amp;T (ESM) cost portion of Studies in FERC 561.6 and 561.7</t>
  </si>
  <si>
    <t>Exclude C&amp;T's (ESM) expenses for studies from O&amp;M. Third party's expenses for studies are offset in revenue credits; ESM's expense portion needs to be excluded from O&amp;M.</t>
  </si>
  <si>
    <t>Pension Liability UMWA Withdrawal</t>
  </si>
  <si>
    <t>Deferred Comp. Accrual - Cash Basis</t>
  </si>
  <si>
    <t>Pension/Retirement Accrual - Cash Basis</t>
  </si>
  <si>
    <t>Wasatch workers comp reserve</t>
  </si>
  <si>
    <t>FAS 112 Book Reserve - Post Employee Benefits</t>
  </si>
  <si>
    <t>Regulatory liability established to record the deferral of retail revenue for excess income taxes in rates for Washington customers.  The Tax Cuts and Jobs Act was enacted on December 22, 2017 and reduced the federal income tax rate from 35% to 21%.</t>
  </si>
  <si>
    <t>RL - Protected PP&amp;E EDIT Amortization - CA</t>
  </si>
  <si>
    <t>Regulatory liability established to record the deferral of protected property related EDIT amortization for return to California customers pursuant to regulatory order.</t>
  </si>
  <si>
    <t>RL - Protected PP&amp;E EDIT Amortization - WA</t>
  </si>
  <si>
    <t>Regulatory liability established to record the deferral of protected property related EDIT amortization for return to Washington customers pursuant to regulatory order.</t>
  </si>
  <si>
    <t>RL - Protected PP&amp;E EDIT Amortization - WY</t>
  </si>
  <si>
    <t>Regulatory liability established to record the deferral of protected property related EDIT amortization for return to Wyoming customers pursuant to regulatory order.</t>
  </si>
  <si>
    <t>RL - Protected PP&amp;E EDIT - CA</t>
  </si>
  <si>
    <t>Regulatory liability established to defer California's portion of protected property related EDIT recorded as a result of the Tax Cuts and Jobs Act, which reduced the federal income tax rate from 35% to 21%.</t>
  </si>
  <si>
    <t>RL - Protected PP&amp;E EDIT - ID</t>
  </si>
  <si>
    <t>Regulatory liability established to defer Idaho's portion of protected property related EDIT recorded as a result of the Tax Cuts and Jobs Act, which reduced the federal income tax rate from 35% to 21%.</t>
  </si>
  <si>
    <t>RL - Protected PP&amp;E EDIT - OR</t>
  </si>
  <si>
    <t>Regulatory liability established to defer Oregon's portion of protected property related EDIT recorded as a result of the Tax Cuts and Jobs Act, which reduced the federal income tax rate from 35% to 21%.</t>
  </si>
  <si>
    <t>RL - Protected PP&amp;E EDIT - WA</t>
  </si>
  <si>
    <t>Regulatory liability established to defer Washington's portion of protected property related EDIT recorded as a result of the Tax Cuts and Jobs Act, which reduced the federal income tax rate from 35% to 21%.</t>
  </si>
  <si>
    <t>RL - Protected PP&amp;E EDIT - WY</t>
  </si>
  <si>
    <t>Regulatory liability established to defer Wyoming's portion of protected property related EDIT recorded as a result of the Tax Cuts and Jobs Act, which reduced the federal income tax rate from 35% to 21%.</t>
  </si>
  <si>
    <t>RL - Protected PP&amp;E EDIT - UT</t>
  </si>
  <si>
    <t>Regulatory liability established to defer Utah's portion of protected property related EDIT recorded as a result of the Tax Cuts and Jobs Act, which reduced the federal income tax rate from 35% to 21%.</t>
  </si>
  <si>
    <t>RL - Non Protected PP&amp;E  EDIT- CA</t>
  </si>
  <si>
    <t>Regulatory liability established to defer California's portion of non-protected property related EDIT recorded as a result of the Tax Cuts and Jobs Act, which reduced the federal income tax rate from 35% to 21%.</t>
  </si>
  <si>
    <t>RL - Non Protected PP&amp;E  EDIT- WA</t>
  </si>
  <si>
    <t>Regulatory liability established to defer Washington's portion of non-protected property related EDIT recorded as a result of the Tax Cuts and Jobs Act, which reduced the federal income tax rate from 35% to 21%.</t>
  </si>
  <si>
    <t>RL - Non Protected PP&amp;E  EDIT- WY</t>
  </si>
  <si>
    <t>Regulatory liability established to defer Wyoming's portion of non-protected property related EDIT recorded as a result of the Tax Cuts and Jobs Act, which reduced the federal income tax rate from 35% to 21%.</t>
  </si>
  <si>
    <t>Regulatory liability established to account for the deferral of protected property-related EDIT for PMI's portion of Bridger Coal Company fixed assets</t>
  </si>
  <si>
    <t>ARO/Regulatory Difference - Trojan - WA</t>
  </si>
  <si>
    <t>RL - CA GHG Allowance Revenue</t>
  </si>
  <si>
    <t>RL - Sale of RECs - UT</t>
  </si>
  <si>
    <t>RL - Sale of RECs - WY</t>
  </si>
  <si>
    <t>Regulatory Liability established to track the difference between REC revenue included in rates and Wyoming’s allocation of the actual REC revenue received by the Company.</t>
  </si>
  <si>
    <t>RL - Sale of RECs - OR</t>
  </si>
  <si>
    <t>Regulatory Liability established to track the difference between REC revenue included in rates and Oregon’s allocation of the actual REC revenue received by the Company.</t>
  </si>
  <si>
    <t>Reclass of miscellaneous regulatory assets/liabilities that have flipped to debit/credit balances.</t>
  </si>
  <si>
    <t>RL - OR Energy Conservation Charge</t>
  </si>
  <si>
    <t xml:space="preserve">RL- DSM Balance </t>
  </si>
  <si>
    <t>Trojan Decommissioning Cost-Regulatory Asset</t>
  </si>
  <si>
    <t xml:space="preserve">DTA Net Operating Loss Carryforward-State </t>
  </si>
  <si>
    <t>Injuries &amp; Damages Accrual - Cash Basis</t>
  </si>
  <si>
    <t>Inventory Reserve - Cholla Unit 4</t>
  </si>
  <si>
    <t xml:space="preserve">Accrued liability for estimated obsolete or excess inventory associated with the Cholla U4 closure.  </t>
  </si>
  <si>
    <t>Lease Liability (Operating Lease)</t>
  </si>
  <si>
    <t>Operating lease liabilities established pursuant to the new leasing accounting standards under ASC 842.</t>
  </si>
  <si>
    <t>Accrued liability established to reserve for accounts receivable for which collection is not expected and for which the accumulated deferred income tax liability is expected to be reversed upon audit by the Internal Revenue Service.</t>
  </si>
  <si>
    <t>Contra Receivable Joint Owners</t>
  </si>
  <si>
    <t>Trapper Mine Contract Obligation</t>
  </si>
  <si>
    <t>Chehalis Mitigation Obligation</t>
  </si>
  <si>
    <t>Environmental Liability - Regulation</t>
  </si>
  <si>
    <t>Environmental Liability- Non Regulation</t>
  </si>
  <si>
    <t>Miscellaneous Current &amp; Accrued Liability</t>
  </si>
  <si>
    <t>Unearned Joint Use Pole Contract Revenue</t>
  </si>
  <si>
    <t xml:space="preserve">N Umpqua Settlement Agreement </t>
  </si>
  <si>
    <t>FERC Transmission Allocable Excess Deferred Income Tax</t>
  </si>
  <si>
    <t>Contract Liability Basis Adj - Chehalis</t>
  </si>
  <si>
    <t>Deferred tax balance associated with the protected property-related excess deferred income tax balances for PMI's portion of Bridger Coal Company's fixed assets.</t>
  </si>
  <si>
    <t>Accounting adjustment to record the amount of deferred tax expense associated with fixed assets that have been previously been paid by customers at a tax rate higher than the current tax rate and are probable of being refunded as the temporary book-tax differences reverse and the amount of tax benefits associated with fixed assets that have previously been flowed through to customers and are probable of recovery as the temporary book-tax differences reverse and result in higher taxable income as compared to book income.</t>
  </si>
  <si>
    <t>PP&amp;E book to tax differences for which the accumulated deferred income tax liability is expected to be reversed upon audit by the Internal Revenue Service.</t>
  </si>
  <si>
    <t>RA - Lease Depreciation - Timing Difference</t>
  </si>
  <si>
    <t xml:space="preserve">Regulatory asset established to account for the cumulative GAAP to FERC timing difference in depreciation expense, by finance lease agreement. GAAP reflects monthly depreciation straight line over the term of the lease vs. FERC where monthly depreciation expense is derived by the net of the lease payment less accrued lease interest.  
</t>
  </si>
  <si>
    <t>ROU Asset (Operating Lease)</t>
  </si>
  <si>
    <t>Operating lease assets established pursuant to the new leasing accounting standards under ASC 842.</t>
  </si>
  <si>
    <t>Contra RA - Cholla U4 Closure WA/FERC</t>
  </si>
  <si>
    <t>RA - Cholla U4 Closure</t>
  </si>
  <si>
    <t>Regulatory asset established to account for the estimate of recoverable amounts related to the Cholla U4 closure.</t>
  </si>
  <si>
    <t>RA - Community Solar - OR</t>
  </si>
  <si>
    <t>Regulatory asset established to account for the deferral of costs related to the Oregon Community Solar Program.</t>
  </si>
  <si>
    <t>RA - Deferred Excess NPC - OR - Noncurrent</t>
  </si>
  <si>
    <t>RA - Fire Risk Mitigation - CA</t>
  </si>
  <si>
    <t>Regulatory asset established for the defer costs related to the California Fire Risk Mitigation Memorandum Account pursuant to Docket 19-05-042.</t>
  </si>
  <si>
    <t>RA - OR Transportation Electrification Pilot</t>
  </si>
  <si>
    <t>RA - Pension Settlement - WA</t>
  </si>
  <si>
    <t>RA - Transportation Electrification Pilot - WA</t>
  </si>
  <si>
    <t>Prepaid - FSA O&amp;M - East</t>
  </si>
  <si>
    <t xml:space="preserve">Prepaid account established to record prepaid operating and maintenance advance payments for the east side repowered wind facilities.  </t>
  </si>
  <si>
    <t>Prepaid property tax book to tax differences for which the accumulated deferred income tax liability is expected to be reversed upon audit by the Internal Revenue Service.</t>
  </si>
  <si>
    <t>FERC Acct.</t>
  </si>
  <si>
    <t>Protected</t>
  </si>
  <si>
    <t>Non-Protected</t>
  </si>
  <si>
    <t>Accum. Deferred Income Tax Asset</t>
  </si>
  <si>
    <t>Accum. Deferred Income Tax Liability: Accelerated Amortization Property</t>
  </si>
  <si>
    <t>Accum. Deferred Income Tax Liability: Other Property</t>
  </si>
  <si>
    <t>Accum. Deferred Income Tax Liability: Other</t>
  </si>
  <si>
    <t>Other Regulatory Assets</t>
  </si>
  <si>
    <t>Other Regulatory Liabilities</t>
  </si>
  <si>
    <t>Gross-Up</t>
  </si>
  <si>
    <t>Protected Excess Deferred Income Tax is being amortized using the Reverse South Georgia Method over the remaining regulatory life of the assets.</t>
  </si>
  <si>
    <t>Non-Protected Excess Deferred Income Tax is being amortized over a five-year period.</t>
  </si>
  <si>
    <t>Formula Rate Inputs</t>
  </si>
  <si>
    <t>Remaining</t>
  </si>
  <si>
    <t>Regulatory</t>
  </si>
  <si>
    <t>#</t>
  </si>
  <si>
    <t>Amort.</t>
  </si>
  <si>
    <t>End. Balance</t>
  </si>
  <si>
    <t>12/31/2018</t>
  </si>
  <si>
    <t>12/31/2019</t>
  </si>
  <si>
    <t>12/31/2020</t>
  </si>
  <si>
    <t>12/31/2021</t>
  </si>
  <si>
    <t>12/31/2022</t>
  </si>
  <si>
    <t>12/31/2023</t>
  </si>
  <si>
    <t>12/31/2024</t>
  </si>
  <si>
    <t>12/31/2025</t>
  </si>
  <si>
    <t>12/31/2026</t>
  </si>
  <si>
    <t>12/31/2027</t>
  </si>
  <si>
    <t>12/31/2028</t>
  </si>
  <si>
    <t>12/31/2029</t>
  </si>
  <si>
    <t>12/31/2030</t>
  </si>
  <si>
    <t>12/31/2031</t>
  </si>
  <si>
    <t>12/31/2032</t>
  </si>
  <si>
    <t>12/31/2033</t>
  </si>
  <si>
    <t>12/31/2034</t>
  </si>
  <si>
    <t>12/31/2035</t>
  </si>
  <si>
    <t>12/31/2036</t>
  </si>
  <si>
    <t>12/31/2037</t>
  </si>
  <si>
    <t>12/31/2038</t>
  </si>
  <si>
    <t>12/31/2039</t>
  </si>
  <si>
    <t>12/31/2040</t>
  </si>
  <si>
    <t>12/31/2041</t>
  </si>
  <si>
    <t>12/31/2042</t>
  </si>
  <si>
    <t>12/31/2043</t>
  </si>
  <si>
    <t>12/31/2044</t>
  </si>
  <si>
    <t>12/31/2045</t>
  </si>
  <si>
    <t>12/31/2046</t>
  </si>
  <si>
    <t>12/31/2047</t>
  </si>
  <si>
    <t>12/31/2048</t>
  </si>
  <si>
    <t>12/31/2049</t>
  </si>
  <si>
    <t>12/31/2050</t>
  </si>
  <si>
    <t>12/31/2051</t>
  </si>
  <si>
    <t>12/31/2052</t>
  </si>
  <si>
    <t>12/31/2053</t>
  </si>
  <si>
    <t>12/31/2054</t>
  </si>
  <si>
    <t>12/31/2055</t>
  </si>
  <si>
    <t>12/31/2056</t>
  </si>
  <si>
    <t>12/31/2057</t>
  </si>
  <si>
    <t>12/31/2058</t>
  </si>
  <si>
    <t>12/31/2059</t>
  </si>
  <si>
    <t>12/31/2060</t>
  </si>
  <si>
    <t>12/31/2061</t>
  </si>
  <si>
    <t>12/31/2062</t>
  </si>
  <si>
    <t>12/31/2063</t>
  </si>
  <si>
    <t>12/31/2064</t>
  </si>
  <si>
    <t>12/31/2065</t>
  </si>
  <si>
    <t>12/31/2066</t>
  </si>
  <si>
    <t>12/31/2067</t>
  </si>
  <si>
    <t>12/31/2068</t>
  </si>
  <si>
    <t>Excess or Deficient ADIT Amortization</t>
  </si>
  <si>
    <t>Grossed up Excess or Deficient ADIT Amortization</t>
  </si>
  <si>
    <t>Attachment 1B</t>
  </si>
  <si>
    <t>Excess or Deficient ADIT Balance</t>
  </si>
  <si>
    <t>g26</t>
  </si>
  <si>
    <t>Excess or Deficient ADIT Amortization Adjustment * 1 / (1-T)</t>
  </si>
  <si>
    <t>Line 135b * 1 / (1-T)</t>
  </si>
  <si>
    <t>Annual</t>
  </si>
  <si>
    <t>Amortization</t>
  </si>
  <si>
    <t>ATT 1B - ADIT</t>
  </si>
  <si>
    <t>Adjustment</t>
  </si>
  <si>
    <t>Summary Table: (Excess) / Deficient ADIT</t>
  </si>
  <si>
    <t>Income Tax</t>
  </si>
  <si>
    <t>Allowance</t>
  </si>
  <si>
    <t>Appendix A, Line 33B</t>
  </si>
  <si>
    <t>Appendix A, Line 135b</t>
  </si>
  <si>
    <t>For the calendar year ended December 31, 2018, the balance is included in in FERC Acct. 282. Accordingly, it is excluded from the separately reported rate base adjustment in Appendix A to avoid being double counted.</t>
  </si>
  <si>
    <t>Att 1B - 2017 TCJA</t>
  </si>
  <si>
    <t>Excess deferred income taxes were reported in FERC Acct. 282 through 2018. Accordingly no separate rate base adjustment was reported in Appendix A.</t>
  </si>
  <si>
    <t>Attachment 1B - Summary Table: (Excess) / Deficient ADIT</t>
  </si>
  <si>
    <t>Attachment 1B - 2017 Tax Cuts and Jobs Act of 2017</t>
  </si>
  <si>
    <t xml:space="preserve">Total </t>
  </si>
  <si>
    <t>The net liability for excess deferred income tax is recorded in FERC Acct. 254 and is being amortized to FERC Acct. 411.1.</t>
  </si>
  <si>
    <t>='Appendix A'!$H$123</t>
  </si>
  <si>
    <t>='Appendix A'!$H$118</t>
  </si>
  <si>
    <t>Other (Business &amp; Occupation, Nevada Comm. Tax, Use)</t>
  </si>
  <si>
    <t>f19</t>
  </si>
  <si>
    <t>f20</t>
  </si>
  <si>
    <t>136b</t>
  </si>
  <si>
    <t>Appendix A (Line 135c)</t>
  </si>
  <si>
    <t>g27</t>
  </si>
  <si>
    <t>Unamortized</t>
  </si>
  <si>
    <t>General</t>
  </si>
  <si>
    <t>(Excess) / Deficient ADIT</t>
  </si>
  <si>
    <t>- - -</t>
  </si>
  <si>
    <t>New</t>
  </si>
  <si>
    <t>Office Furniture and Equipment - Furniture</t>
  </si>
  <si>
    <t>Office Furniture and Equipment - Equipment</t>
  </si>
  <si>
    <t xml:space="preserve">Communication Equipment </t>
  </si>
  <si>
    <t>Transfers into the General amortized accounts (rows 13 through 21) are depreciated over the remaining life based on the account life.</t>
  </si>
  <si>
    <t>Some intangible assets in FERC accounts 302 and 303 have been excluded from balances in the calculation of composite Company depreciation rates: Hydro License Settlement Obligations and Gas Plant Intangibles.</t>
  </si>
  <si>
    <t>FERC Sub-accounts 353.7 (Supervisory Equipment), 356.2 (Clearing &amp; Grading), and 390.3 (Structures and Improvements - Office Panels) were previously shown on separate lines on Attachment 8, but the depreciation rates for these aforementioned categories/FERC Accounts have been combined into their main accounts due to immateriality.</t>
  </si>
  <si>
    <t>New FERC Sub-account 391.3 (Office Furniture and Equipment – Equipment) is a new FERC account with a different depreciation rate than the main FERC account 391.0, and was therefore added to reflect the current status.</t>
  </si>
  <si>
    <t>Company Records: Sum of order 235822 (FERC 560), 228755 (FERC 561.6) &amp; 228756 (FERC 561.7). Enter as a negative value.</t>
  </si>
  <si>
    <t>Local Franchise (Utah)</t>
  </si>
  <si>
    <t>Summit County flat rate fee for serving county</t>
  </si>
  <si>
    <t>f21</t>
  </si>
  <si>
    <t>g28</t>
  </si>
  <si>
    <t>Harmony - W. Cedar ROW</t>
  </si>
  <si>
    <t>Terminal - Oquirrh 138 Kv Line</t>
  </si>
  <si>
    <t>Bastion Property / Populus Substation</t>
  </si>
  <si>
    <t>Chimney Butte-Paradise 230kV ROW</t>
  </si>
  <si>
    <t>Helper Substation Expansion</t>
  </si>
  <si>
    <t>RL - Cholla Decommissioning - OR</t>
  </si>
  <si>
    <t>Regulatory liability for Oregon's share of decommissioning costs for the Cholla steam plant.</t>
  </si>
  <si>
    <t>RL - Cholla Decommissioning - UT</t>
  </si>
  <si>
    <t>Regulatory liability for Utah's share of decommissioning costs for the Cholla steam plant.</t>
  </si>
  <si>
    <t>Reg Liab - OR Injuries &amp; Damages Reserve</t>
  </si>
  <si>
    <t>Reg Liab - ID Property Insurance Reserve</t>
  </si>
  <si>
    <t>Reg Liab - UT Property Insurance Reserve</t>
  </si>
  <si>
    <t>Reg Liability - Property Insurance Reserve - CA</t>
  </si>
  <si>
    <t>Regulatory liability used to record the California allocation of storm-related property damage recovered in excess of insurance claims incurred.</t>
  </si>
  <si>
    <t>Transmission Service Deposit</t>
  </si>
  <si>
    <t>Deferred tax account represents the difference between book income capitalized to inventory and taxable income from Bridger coal.</t>
  </si>
  <si>
    <t>Contra RA - Cholla U4 Closure OR</t>
  </si>
  <si>
    <t>Contra regulatory asset established to account for the estimate of unrecoverable amounts in the Cholla U4 Regulatory asset - OR.</t>
  </si>
  <si>
    <t>Contra RA - Cholla U4 Closure UT</t>
  </si>
  <si>
    <t>Contra regulatory asset established to account for the estimate of unrecoverable amounts in the Cholla U4 Regulatory asset - UT.</t>
  </si>
  <si>
    <t>Contra regulatory asset established to account for the estimate of unrecoverable amounts in the Cholla U4 Regulatory asset - WA/FERC.</t>
  </si>
  <si>
    <t>RA - 2020 GRC - Meters Replaced by AMI - OR</t>
  </si>
  <si>
    <t>RA - Cholla Unrecovered Plant -CA</t>
  </si>
  <si>
    <t>Regulatory asset established for California's share of unrecovered plant at the Cholla steam plant.</t>
  </si>
  <si>
    <t>RA - Cholla Unrecovered Plant -WY</t>
  </si>
  <si>
    <t>Regulatory asset established for Wyoming's share of unrecovered plant at the Cholla steam plant.</t>
  </si>
  <si>
    <t>RA - Deferred Independent Evaluator Fee - OR</t>
  </si>
  <si>
    <t>RA - Emergency Service Program-Battery Storage - CA</t>
  </si>
  <si>
    <t>Regulatory asset account established to defer costs related to the California Emergency Services Resiliency Programs.</t>
  </si>
  <si>
    <t>RA - GHG Allocation - CA - Noncurrent</t>
  </si>
  <si>
    <t>RA - Oregon OCAT Expense Deferral</t>
  </si>
  <si>
    <t xml:space="preserve">Regulatory asset account established to record the difference between the amount of Oregon Corporate Activity Tax incurred and the amount already recovered from customers.   </t>
  </si>
  <si>
    <t>RA - Pension Settlement - CA</t>
  </si>
  <si>
    <t>FAS 158 Funded Pension Asset</t>
  </si>
  <si>
    <t xml:space="preserve">Represents the funded pension asset under FAS 158. </t>
  </si>
  <si>
    <t>Prepaid - FSA O&amp;M - West</t>
  </si>
  <si>
    <t xml:space="preserve">Prepaid account established to record prepaid operating and maintenance advance payments for the west side repowered wind facilities.  </t>
  </si>
  <si>
    <t>Regulatory liability established to record sales of Clean Fuel Program credits sold to regulated entities, to be used to fund programs that benefit Oregon customers.</t>
  </si>
  <si>
    <t>320.197b</t>
  </si>
  <si>
    <t>320.185b</t>
  </si>
  <si>
    <t>320.189b</t>
  </si>
  <si>
    <t>320.191b</t>
  </si>
  <si>
    <t>320.85b</t>
  </si>
  <si>
    <t>320.86b</t>
  </si>
  <si>
    <t>320.87b</t>
  </si>
  <si>
    <t>320.88b</t>
  </si>
  <si>
    <t>320.89b</t>
  </si>
  <si>
    <t>204.58b</t>
  </si>
  <si>
    <t>204.58g</t>
  </si>
  <si>
    <t>204.75b</t>
  </si>
  <si>
    <t>204.75g</t>
  </si>
  <si>
    <t>204.99b</t>
  </si>
  <si>
    <t>204.99g</t>
  </si>
  <si>
    <t>204.102g</t>
  </si>
  <si>
    <t>320.112b</t>
  </si>
  <si>
    <t>320.84b</t>
  </si>
  <si>
    <t>320.96b</t>
  </si>
  <si>
    <t>Edison Electric Institute</t>
  </si>
  <si>
    <t>North American Transmission Forum</t>
  </si>
  <si>
    <t>CUST ASST EXP-GENL</t>
  </si>
  <si>
    <t>g29</t>
  </si>
  <si>
    <t>g30</t>
  </si>
  <si>
    <t>g31</t>
  </si>
  <si>
    <t>g32</t>
  </si>
  <si>
    <t>Depreciation Rates shown in rows 1 through 22 were approved by each of the Company's respective state jurisdictions during the last depreciation study. Oregon and Washington rates for 389.2 on line 11 were added after the last depreciation study.</t>
  </si>
  <si>
    <t>Pre-</t>
  </si>
  <si>
    <t>Post-</t>
  </si>
  <si>
    <t>Tax Rate Change</t>
  </si>
  <si>
    <t>(Excess) / Deficient</t>
  </si>
  <si>
    <t>ADIT</t>
  </si>
  <si>
    <t>Tax Rate</t>
  </si>
  <si>
    <t>Factor</t>
  </si>
  <si>
    <r>
      <t>Gross-Up</t>
    </r>
    <r>
      <rPr>
        <b/>
        <sz val="10"/>
        <color rgb="FFFF0000"/>
        <rFont val="Arial"/>
        <family val="2"/>
      </rPr>
      <t>**</t>
    </r>
  </si>
  <si>
    <t>Asset / (Liability)</t>
  </si>
  <si>
    <r>
      <t>Asset / (Liability)</t>
    </r>
    <r>
      <rPr>
        <b/>
        <sz val="10"/>
        <color rgb="FFFF0000"/>
        <rFont val="Arial"/>
        <family val="2"/>
      </rPr>
      <t>**</t>
    </r>
  </si>
  <si>
    <t>Attachment 1B - [INSERT NAME]</t>
  </si>
  <si>
    <t>NOTE: PacifiCorp will populate the worksheet in accordance with a future rate change</t>
  </si>
  <si>
    <t>[Statement as to which account the (excess) / deficient ADIT is recorded and to which account the balance is being amortized.]</t>
  </si>
  <si>
    <t>[Statement as to which method is being used to amortize protected (excess) / deficient ADIT]</t>
  </si>
  <si>
    <t>[Statement of the amortization period for non-protected (excess) / deficient ADIT]</t>
  </si>
  <si>
    <t>[Intial Balance]</t>
  </si>
  <si>
    <t>Total
Current Year to
Date Balance for
Quarter/Year</t>
  </si>
  <si>
    <t xml:space="preserve">Total Company for the Current Year/Quarter Ended </t>
  </si>
  <si>
    <t>Balance
Beginning of Year</t>
  </si>
  <si>
    <t>Balance at
End of Year</t>
  </si>
  <si>
    <t>Electric Plant in
Service</t>
  </si>
  <si>
    <t>Balance
End of Year</t>
  </si>
  <si>
    <t>Amortization of Limited Term
Electric Plant (Account 404)</t>
  </si>
  <si>
    <t>Amortization of
Other Electric
Plant (Acc 405)</t>
  </si>
  <si>
    <t>Depreciation
Expense
(Account 403)</t>
  </si>
  <si>
    <t>Direct Payroll
Distribution</t>
  </si>
  <si>
    <t>204.104g</t>
  </si>
  <si>
    <t>204.101g</t>
  </si>
  <si>
    <t>='Att 12 - Plant Held Future Use'!$E$18</t>
  </si>
  <si>
    <t>Page 262-263, 
Col (L)</t>
  </si>
  <si>
    <t>262-263</t>
  </si>
  <si>
    <t>l</t>
  </si>
  <si>
    <t>204.104b</t>
  </si>
  <si>
    <t>219.29c</t>
  </si>
  <si>
    <t>320.92b</t>
  </si>
  <si>
    <t>335.1b</t>
  </si>
  <si>
    <t>Accrued liability for the Energy West Mining UMWA pension trust withdrawal obligation.</t>
  </si>
  <si>
    <t>Accrued liability for the long-term portion of the BHE incentive plan liability related to PacifiCorp employees.</t>
  </si>
  <si>
    <t>Accrued liability for the expected claims related to workers compensation previously held by Wasatch Crest.  PacifiCorp holds this liability due to the insolvency of Wasatch Creek.</t>
  </si>
  <si>
    <t>Non-current liability for frozen mark to market derivatives.</t>
  </si>
  <si>
    <t>RL - WA - Plant Closure Costs</t>
  </si>
  <si>
    <t xml:space="preserve">Regulatory liability established to record the authorized plant closure costs for Jim Bridger and Colstrip Unit 4 pursuant to Docket UE-191024. </t>
  </si>
  <si>
    <t>RL - Bridger Accelerated Depreciation &amp; Reclamation - OR</t>
  </si>
  <si>
    <t xml:space="preserve">Regulatory liability established to record the authorized deferral of accelerated depreciation and reclamation costs for the Bridger Mine incremental to the amounts included in the cost of coal delivered to the Jim Bridger Plant.  Pursuant to Docket UE-374, Order 20-473.  </t>
  </si>
  <si>
    <t>RL - Bridger Accelerated Depreciation - WA</t>
  </si>
  <si>
    <t>Regulatory liability established to record the deferral of accelerated depreciation and reclamation costs for the Bridger Mine incremental to the amounts included in the cost of coal delivered to the Jim Bridger Plant pursuant to Docket UE-191024.</t>
  </si>
  <si>
    <t>RL - Klamath Dams Removal - CA</t>
  </si>
  <si>
    <t>Regulatory liability established to record the giveback of excess funds collected from California customers for Klamath River Dams Removal.</t>
  </si>
  <si>
    <t>RL - Income Tax Deferral - WA</t>
  </si>
  <si>
    <t>RL - Income Tax Deferral - WY</t>
  </si>
  <si>
    <t>Regulatory liability established to record the deferral of retail revenue for excess income taxes in rates for Wyoming customers.  The Tax Cuts and Jobs Act was enacted on December 22, 2017 and reduced the federal income tax rate from 35% to 21%.</t>
  </si>
  <si>
    <t>RL - Protected PP&amp;E EDIT Amortization - OR</t>
  </si>
  <si>
    <t>Regulatory liability established to record the deferral of protected property related EDIT amortization for return to Oregon customers pursuant to regulatory order.</t>
  </si>
  <si>
    <t>RL - Steam Decommissioning - WA</t>
  </si>
  <si>
    <t>Regulatory liability established to recover Washington's portion of Colstrip and Jim Bridger incremental decommissioning pursuant to Docket UE-191024</t>
  </si>
  <si>
    <t>RL - Cholla Decommissioning - CA</t>
  </si>
  <si>
    <t>Regulatory liability for California's share of decommissioning costs for the Cholla steam plant.</t>
  </si>
  <si>
    <t>RL - Cholla Decommissioning - ID</t>
  </si>
  <si>
    <t>Regulatory liability for Idaho's share of decommissioning costs for the Cholla steam plant.</t>
  </si>
  <si>
    <t>RL - Cholla Decommissioning - WY</t>
  </si>
  <si>
    <t>Regulatory liability for Wyoming's share of decommissioning costs for the Cholla steam plant.</t>
  </si>
  <si>
    <t>RL - OR Clean Fuels Program</t>
  </si>
  <si>
    <t>RL - Income Tax Property Flowthru</t>
  </si>
  <si>
    <t xml:space="preserve">Regulatory liability with respect to the effects of flow through from PP&amp;E book/tax differences and other deferred items that do not have current provision impacts. </t>
  </si>
  <si>
    <t>RL - Income Tax Property Flowthru - PMI</t>
  </si>
  <si>
    <t>RL - Non-Property EDIT - WA</t>
  </si>
  <si>
    <t>Regulatory liability established with respect to the excess deferred income taxes associated with the non-property accumulated deferred income taxes allocable to Washington resulting from the change in the income tax rate.</t>
  </si>
  <si>
    <t>RL - FAS 158 Post-Retirement</t>
  </si>
  <si>
    <t xml:space="preserve">Regulatory liability used to track future revenue associated with recoverable post-retirement welfare expenses. </t>
  </si>
  <si>
    <t xml:space="preserve">RL - WA Decoupling Mechanism </t>
  </si>
  <si>
    <t>Regulatory liability with respect to the Washington decoupling mechanism.</t>
  </si>
  <si>
    <t>Contra regulatory liability established to account for Washington's share of the ARO regulatory difference on Trojan unrecovered plant and decommissioning costs . The reason for this contra account is that substantially all Trojan - related costs were disallowed in Washington; therefore, the Washington portion of any decommissioning costs associated with Trojan should be reflected below-the-line.</t>
  </si>
  <si>
    <t>This account is to reclass the deferred tax balances related to regulatory assets or liabilities where the balance of the regulatory assets result in a credit balance instead of a debit balance, or vice versa.</t>
  </si>
  <si>
    <t>Regulatory liability established to record purchase of California greenhouse gas pollution emission allowances .</t>
  </si>
  <si>
    <t>RL - Sale of REC - WA</t>
  </si>
  <si>
    <t xml:space="preserve">Regulatory liability established to record the deferral of the Pryor Mountain renewable energy credits revenue that will be given back to Washington customers. 
  </t>
  </si>
  <si>
    <t>Regulatory Liability established to track the difference between REC revenue included in rates and Utah’s allocation of the actual REC revenue received by the Company.</t>
  </si>
  <si>
    <t>DTA State Charitable Contribution Limitation</t>
  </si>
  <si>
    <t>287341/287970</t>
  </si>
  <si>
    <t>Accrued liability established as a reserve for anticipated injury and damage expense, offset by the insurance reserve anticipated for potential claims.</t>
  </si>
  <si>
    <t>Valuation allowance against state income tax credits that may not be utilized before expiration.</t>
  </si>
  <si>
    <t>Reg Liab - WA Property Insurance Reserve</t>
  </si>
  <si>
    <t>Regulatory liability used to record the Washington allocation of storm-related property damage recovered in excess of insurance claims incurred.</t>
  </si>
  <si>
    <t xml:space="preserve">Valuation allowance against state net operating loss carryforwards that may not be utilized before expiration.  </t>
  </si>
  <si>
    <t>Reserve was established to record the impairment loss of PacifiCorp Energy write off $2.0M of emission reduction credit.</t>
  </si>
  <si>
    <t>Accrued post-retirement liabilities pursuant to FASB Statement No. 106 for Western Coal Carriers, a third-party carrier service that contracted with PacifiCorp to haul coal from the Trail Mountain Mine to the Hunter plant.</t>
  </si>
  <si>
    <t>Asset Retirement Obligation</t>
  </si>
  <si>
    <t>Deferred tax balance associated with the Asset Retirement Obligations.</t>
  </si>
  <si>
    <t>Book-tax difference related to the gain or loss on sale of assets recorded for book purposes.</t>
  </si>
  <si>
    <t xml:space="preserve">Reserve established for inactive projects included in CWIP. </t>
  </si>
  <si>
    <t>Idaho Disallowed Loss</t>
  </si>
  <si>
    <t>Book-tax difference related to the disallowance of a portion of TB Flats costs by Idaho.</t>
  </si>
  <si>
    <t>RL - Steam Decommissioning - ID</t>
  </si>
  <si>
    <t>RL - Steam Decommissioning - UT</t>
  </si>
  <si>
    <t>RL - Steam Decommissioning - WY</t>
  </si>
  <si>
    <t>Deferred tax balance related to the regulatory liability related to protected property-related EDIT for PMI's portion of Bridger Coal Company fixed assets</t>
  </si>
  <si>
    <t>RA - Pension Settlement - UT</t>
  </si>
  <si>
    <t xml:space="preserve">Regulatory asset established to defer Utah's portion of the pension settlement loss that occurred in 2021.  </t>
  </si>
  <si>
    <t>RA - Pension Settlement - OR</t>
  </si>
  <si>
    <t xml:space="preserve">Regulatory asset established to defer Oregon's portion of the pension settlement loss that occurred in 2021.  </t>
  </si>
  <si>
    <t>RA - Pension Settlement - WY</t>
  </si>
  <si>
    <t xml:space="preserve">Regulatory asset established to defer Wyoming's portion of the pension settlement loss that occurred in 2021.  </t>
  </si>
  <si>
    <t>RA - Equity Advisory Group - WA</t>
  </si>
  <si>
    <t xml:space="preserve">Regulatory asset established to record the deferral of costs associated with Washington's Equity Advisory Group pursuant to Docket UE-210414.  </t>
  </si>
  <si>
    <t>RA - Covid-19 Bill Assist Program - OR</t>
  </si>
  <si>
    <t>Regulatory asset established to record the deferral of costs associated with providing bill assistance to Oregon customers due to the COVID-19 pandemic.</t>
  </si>
  <si>
    <t>RA - Covid-19 Bill Assist Program - WA</t>
  </si>
  <si>
    <t>Regulatory asset established to record the deferral of costs associated with providing bill assistance to Washington customers due to the COVID-19 pandemic.</t>
  </si>
  <si>
    <t>RA - Major Maintenance Expense Colstrip - WA</t>
  </si>
  <si>
    <t xml:space="preserve">Regulatory asset established to record Washington's share of major maintenance expense for the Colstrip Unit No. 4. </t>
  </si>
  <si>
    <t>RA - Wildland Fire Protection - UT</t>
  </si>
  <si>
    <t xml:space="preserve">Regulatory asset established to record the deferral of costs related to Utah's Wildland Fire Mitigation Balancing Account.
</t>
  </si>
  <si>
    <t xml:space="preserve">Regulatory asset established to defer costs related to Oregon's pilot programs aimed at accelerating transportation electrification in Oregon.  </t>
  </si>
  <si>
    <t xml:space="preserve">Regulatory asset established to defer costs related to California's pilot programs aimed at accelerating transportation electrification in California.  </t>
  </si>
  <si>
    <t xml:space="preserve">Regulatory asset established to defer costs related to Washington's pilot programs aimed at accelerating transportation electrification in Washington.  </t>
  </si>
  <si>
    <t xml:space="preserve">Regulatory asset established to recover California's portion of pension settlement losses.  </t>
  </si>
  <si>
    <t>Regulatory asset established for Oregon's undepreciated NBV for old meters replaced by AMI to be amortized over 10 years.</t>
  </si>
  <si>
    <t>RA - Wind Test Energy Deferral - WY</t>
  </si>
  <si>
    <t xml:space="preserve">Regulatory asset established to record the deferral of wind test energy for Cedar Springs II, Ekola Flats, TB Flats I, TB Flats II and Pryor Mountain wind projects pursuant to Docket No. 20000-599-EM-21.  </t>
  </si>
  <si>
    <t>RA - Oregon Metro Business Tax</t>
  </si>
  <si>
    <t>Regulatory asset established to record the deferral of the Metro Business Income Tax pursuant to Docket UM 2138.</t>
  </si>
  <si>
    <t>Regulatory asset established to record funding for qualifying intervenors that are collected from customers through California rates.</t>
  </si>
  <si>
    <t>RA - Deferred Excess NPC - WA Hydro- Noncurrent</t>
  </si>
  <si>
    <t>Regulatory asset established to record the Washington Power Cost Adjustment Mechanism (PCAM) deferrals.</t>
  </si>
  <si>
    <t xml:space="preserve">Regulatory asset established to recover Washington's portion of pension settlement losses.  </t>
  </si>
  <si>
    <t>Regulatory asset established for the Oregon allocated share of evaluator fees and costs related to a request for proposal for new generation.</t>
  </si>
  <si>
    <t>Regulatory asset established to record the Wyoming Energy Cost Adjustment Mechanism (ECAM) deferrals.</t>
  </si>
  <si>
    <t>Regulatory asset established to record the Idaho Energy Cost Adjustment Mechanism (ECAM) deferrals.</t>
  </si>
  <si>
    <t>Regulatory asset established to record Washington's portion of stock redemption costs.</t>
  </si>
  <si>
    <t>Regulatory asset established to record funding for qualifying intervenors that are collected from customers through Oregon rates.</t>
  </si>
  <si>
    <t>Regulatory asset established to record the California Energy Cost Adjustment Clause (ECAC) deferrals.</t>
  </si>
  <si>
    <t>Regulatory asset established to record the deferral of costs associated with the Utah Mine Disposition, where the operations of Deer Creek mine were discontinued in 2015.</t>
  </si>
  <si>
    <t>Regulatory asset established to record Wyoming's portion of stock redemption costs.</t>
  </si>
  <si>
    <t>Regulatory asset established for the costs incurred with an Oregon photovoltaic feed-in tariff program (Oregon House Bill 3039).</t>
  </si>
  <si>
    <t>Regulatory asset established to record the Oregon Power Cost Adjustment Mechanism (PCAM) and Transition Adjustment Mechanism (TAM) deferrals.</t>
  </si>
  <si>
    <t>Regulatory asset established to capture the difference between renewable energy credits (RECs) included in rates and actual RECs for the Washington jurisdiction.</t>
  </si>
  <si>
    <t xml:space="preserve">Regulatory asset to record the pass-through benefit to Oregon customers from the BPA. Qualifying customers, such as those who meet specified reductions in energy use during peak hours, are rewarded with a credit to their bill. </t>
  </si>
  <si>
    <t xml:space="preserve"> Regulatory asset related to Oregon's portion of the gain on sales giveback to customers.  </t>
  </si>
  <si>
    <t xml:space="preserve">Regulatory asset established to record the balancing account activity for the costs and collections of the Utah Sustainable Transportation and Energy Plan (STEP) Pilot Programs. 
</t>
  </si>
  <si>
    <t xml:space="preserve">Regulatory Asset established to defer storm related costs in California.                                                                                                                                                                                                                                                                                                                                                            </t>
  </si>
  <si>
    <t>Regulatory asset  established to record Idaho's share of the deferral of increased depreciation due to the implementation of new rates on January 1, 2014 and the implementation of new rates effective January 1, 2021.</t>
  </si>
  <si>
    <t>RA - Steam Deferred Depreciation - UT</t>
  </si>
  <si>
    <t xml:space="preserve">Regulatory asset established to record the deferral of Jim Bridger Units 1 &amp; 2 depreciation that was authorized for deferral due to the implementation of new rates on January 31, 2021 pursuant to Docket 20-035-04. </t>
  </si>
  <si>
    <t>Regulatory asset established to record Utah's portion of stock redemption costs.</t>
  </si>
  <si>
    <t xml:space="preserve">Represents the funded Post-Employment Benefit Obligations (OPEB) asset, excluding Medicare subsidy, required under FAS 158.  </t>
  </si>
  <si>
    <t>Prepaid account for the prepaid Oregon Public Utility Commission fee, amortized for book purposes over a period of 12 months or less.</t>
  </si>
  <si>
    <t>Prepaid account for the prepaid Idaho Public Utilities Commission fee, amortized for book purposes over a period of 12 months or less.</t>
  </si>
  <si>
    <t>Prepaid account established for prepaid aircraft maintenance costs.</t>
  </si>
  <si>
    <t>Prepaid account for prepaid water rights and water fees.</t>
  </si>
  <si>
    <t>350.20d</t>
  </si>
  <si>
    <t>350.21d</t>
  </si>
  <si>
    <t>350.22d</t>
  </si>
  <si>
    <r>
      <t xml:space="preserve">Form 1, pg </t>
    </r>
    <r>
      <rPr>
        <sz val="10"/>
        <rFont val="Arial"/>
        <family val="2"/>
      </rPr>
      <t>256-257, ln 33 m</t>
    </r>
  </si>
  <si>
    <r>
      <t xml:space="preserve">TABLE 4: INFORMATION ONLY
</t>
    </r>
    <r>
      <rPr>
        <b/>
        <sz val="10"/>
        <color rgb="FFFF0000"/>
        <rFont val="Arial"/>
        <family val="2"/>
      </rPr>
      <t>**</t>
    </r>
    <r>
      <rPr>
        <b/>
        <sz val="10"/>
        <rFont val="Arial"/>
        <family val="2"/>
      </rPr>
      <t>Gross-up and ADIT are not included in rate base. For accounting purposes, the gross-up is recorded in either FERC Account 182.3 or 254, and the ADIT is recorded in either FERC Account 190 or 283.</t>
    </r>
  </si>
  <si>
    <t>TABLE 1: Summary of (Excess) / Deficient Accumulated Deferred Income Tax by Account and Protected/Non-Protected Classification</t>
  </si>
  <si>
    <t>Subtotal: Accumulated Deferred Income Tax Asset / (Liability)</t>
  </si>
  <si>
    <t>Total (Excess) / Deficient Accumulated Deferred Income Tax</t>
  </si>
  <si>
    <t>(Excess) / Deficient Accumulated Deferred Income Tax Regulatory Asset / (Liability)</t>
  </si>
  <si>
    <t>Accumulated Deferred Income Tax Asset / (Liability)</t>
  </si>
  <si>
    <t>(Excess) / Deficient Accumulated Deferred Income Tax</t>
  </si>
  <si>
    <t>TABLE 2: Summary of (Excess) / Deficient Accumulated Deferred Income Tax by Function and Protected/Non-Protected Classification</t>
  </si>
  <si>
    <t>Total (Excess) / Deficient Accumulated Deferred Income Tax Before Gross-Up</t>
  </si>
  <si>
    <t>TABLE 3: Annual Tracking of (Excess) /  Deficient Accumulated Deferred Income Tax</t>
  </si>
  <si>
    <t>Protected (Excess) / Deficient ADIT (RSGM)</t>
  </si>
  <si>
    <t>American Council on Renewable Energy</t>
  </si>
  <si>
    <t>Local Franchise (Washington)</t>
  </si>
  <si>
    <t>Renewals for Benton and Walla Walla  County</t>
  </si>
  <si>
    <t>g33</t>
  </si>
  <si>
    <t>Ochoco Substation</t>
  </si>
  <si>
    <t>RL - OR Fly Ash</t>
  </si>
  <si>
    <t>Regulatory liability established to record fly-ash revenues to be returned to Oregon customers.</t>
  </si>
  <si>
    <t xml:space="preserve">Regulatory liability established to record the balancing account activities for the Utah Home Energy Lifeline Program. </t>
  </si>
  <si>
    <t xml:space="preserve">Regulatory liability established to record the balancing account activities for the Washington Low Income Energy Assistance Program. </t>
  </si>
  <si>
    <t>Regulatory liability established to defer Idaho's share of the incremental decommissioning costs associated with steam assets.</t>
  </si>
  <si>
    <t>Regulatory liability established to defer Utah's share of the incremental decommissioning costs associated with steam assets.</t>
  </si>
  <si>
    <t>Regulatory liability established to defer Wyoming's share of the incremental decommissioning costs associated with steam assets.</t>
  </si>
  <si>
    <t>RA - Deferred Intervenor Funding Grants - ID</t>
  </si>
  <si>
    <t>Regulatory asset established to record funding for qualifying intervenors that are collected from customers through Idaho rates.</t>
  </si>
  <si>
    <t>RA - Wildfire Mitigation - OR</t>
  </si>
  <si>
    <t>Regulatory asset established to record the deferral of costs associated with Oregon's portion of the Company's Wildfire Protection Plan and Wildfire Mitigation and Vegetation Management program.</t>
  </si>
  <si>
    <t>RA - Wildfire Damaged Asset - OR</t>
  </si>
  <si>
    <t>Regulatory asset established to account for the book value of undepreciated plant considered no longer used and useful due to wildfire damage.</t>
  </si>
  <si>
    <t>RA - TB Flats - OR</t>
  </si>
  <si>
    <t>Regulatory asset established to record the deferral of Oregon revenue requirement associated with the remaining portion of TB Flats placed in service in 2021.</t>
  </si>
  <si>
    <t>RA - Electric Vehicle Charging Infrastructure - UT</t>
  </si>
  <si>
    <t>Regulatory asset established to record costs related to Utah's Electric Vehicle Infrastructure Program.</t>
  </si>
  <si>
    <t>RA - Low-Carbon Energy Standards - WY</t>
  </si>
  <si>
    <t>Regulatory asset established to defer costs incurred to comply with Wyoming's Low-Carbon Energy Standards.</t>
  </si>
  <si>
    <t>RA - Distribution System Plan - OR</t>
  </si>
  <si>
    <t>Regulatory asset established to defer operating costs and capital investment to implement and operate the Distribution System Plan (DSP).</t>
  </si>
  <si>
    <t>RA - Low Income Bill Discount - OR</t>
  </si>
  <si>
    <t>Regulatory asset established to defer costs and revenues associated with Oregon's Low Income Bill Discount program.</t>
  </si>
  <si>
    <t>RA - Utility Community Advisory Group - OR</t>
  </si>
  <si>
    <t>Regulatory asset established to defer costs and revenues associated with Oregon's Utility Community Advisory Group.</t>
  </si>
  <si>
    <t>Regulatory asset established to record the purchase of California greenhouse gas pollution emission allowances.</t>
  </si>
  <si>
    <t>RA - Cedar Springs II - OR</t>
  </si>
  <si>
    <t>Regulatory asset established to defer Oregon's revenue requirement related to Cedar Springs II's wind generation and associated transmission placed in service in 2020.</t>
  </si>
  <si>
    <t>Regulatory asset established to record Utah Energy Balancing Account (EBA) deferrals.</t>
  </si>
  <si>
    <t>RA - BPA Balancing Account - WA</t>
  </si>
  <si>
    <t>Balancing account to record the deferral of incentive benefits the Company passes on to Washington customers and is reimbursed from Bonneville Power Administration (BPA).</t>
  </si>
  <si>
    <t>RA - BPA Balancing Account - ID</t>
  </si>
  <si>
    <t>Balancing account to record the deferral of incentive benefits the Company passes on to Idaho customers and is reimbursed from Bonneville Power Administration (BPA).</t>
  </si>
  <si>
    <t>The projects are qualified for the 30% solar investment tax credit (ITC). The tax basis of the solar arrays needs to be reduced by one-half of the solar ITC, therefore creating basis differences between book basis and tax basis for the solar arrays.  This is the revenue requirement gross-up for that difference.</t>
  </si>
  <si>
    <t xml:space="preserve">Transmission allocation of general and intangible assets (acquisition value times labor allocator) attributable to ESM participation in EIM and excluded from ATRR.  FERC accounts 303, 391, and 397.  </t>
  </si>
  <si>
    <t>2023 Projection (as-filed)</t>
  </si>
  <si>
    <t xml:space="preserve">2022 data in Settlement model </t>
  </si>
  <si>
    <t>2023 Year-end Balance</t>
  </si>
  <si>
    <t xml:space="preserve">&lt;-- unreserved use. </t>
  </si>
  <si>
    <t>Airbreak Switch</t>
  </si>
  <si>
    <t>Breaker</t>
  </si>
  <si>
    <t>Bus</t>
  </si>
  <si>
    <t>Fire Protection</t>
  </si>
  <si>
    <t>Foundation And Substructure</t>
  </si>
  <si>
    <t>Insulator</t>
  </si>
  <si>
    <t>Lightning Arrester</t>
  </si>
  <si>
    <t>Misc</t>
  </si>
  <si>
    <t>Relay And Control</t>
  </si>
  <si>
    <t>Steel Structure</t>
  </si>
  <si>
    <t>Step-Up Transformer</t>
  </si>
  <si>
    <t>RL - WA Fly Ash</t>
  </si>
  <si>
    <t>Regulatory liability established to record fly-ash revenues to be returned to Washington customers.</t>
  </si>
  <si>
    <t>RL - Income Tax Property Flowthrough - Other</t>
  </si>
  <si>
    <t xml:space="preserve">Represents the gross-up on certain flowthrough balances unrelated to AFUDC Equity that were removed from PowerTax and will be amortized outside of PowerTax. </t>
  </si>
  <si>
    <t>RL - Deferred Gains - TerraPower</t>
  </si>
  <si>
    <t xml:space="preserve">Regulatory liability established to defer a gain on sale of property as part of an agreement with TerraPower.  The gain recognized will be deferred and given back to customers in a future proceeding.  </t>
  </si>
  <si>
    <t>RL - UT Bill Assistance</t>
  </si>
  <si>
    <t xml:space="preserve">Regulatory liability established to record funds received from the Utah Public Service Commission (UPSC) and disbursed to UT Home Electric Lifeline Program (HELP) customers in the form of an additional credit on their bill. </t>
  </si>
  <si>
    <t>RL - Steam Decommissioning - CA</t>
  </si>
  <si>
    <t>Regulatory liability established to recover California's portion of various steam assets incremental decommissioning as ordered in Docket A.22-05-006.</t>
  </si>
  <si>
    <t>RL - Noncurrent Reclass - Other</t>
  </si>
  <si>
    <t>Regulatory liability used for financial statement presentation purposes to reclass the noncurrent portion of regulatory assets for intervenor fees to liabilities when the balance results in a credit balance instead of a debit balance, or vice versa.</t>
  </si>
  <si>
    <t xml:space="preserve">    910.530/415.815</t>
  </si>
  <si>
    <t>Allowance for A/R</t>
  </si>
  <si>
    <t>Represents a reserve against revenues booked as part of the OATT true-up.</t>
  </si>
  <si>
    <t>FAS 133</t>
  </si>
  <si>
    <t>RL - Effects of Ratemaking - Fixed Assets - Other</t>
  </si>
  <si>
    <t>Balance represents the regulatory adjustment related to certain flowthrough balances, unrelated to AFUDC Equity, that will be amortized outside of the PowerTax Fixed Asset System.</t>
  </si>
  <si>
    <t>Effects of Ratemaking - Other - CA</t>
  </si>
  <si>
    <t>Balance represents certain California-allocated flowthrough balances, unrelated to AFUDC Equity, that will be amortized outside of the PowerTax Fixed Asset System.</t>
  </si>
  <si>
    <t>Effects of Ratemaking - Other - ID</t>
  </si>
  <si>
    <t>Balance represents certain Idaho-allocated flowthrough balances, unrelated to AFUDC Equity, that will be amortized outside of the PowerTax Fixed Asset System.</t>
  </si>
  <si>
    <t>Effects of Ratemaking - Other - OR</t>
  </si>
  <si>
    <t>Balance represents certain Oregon-allocated flowthrough balances, unrelated to AFUDC Equity, that will be amortized outside of the PowerTax Fixed Asset System.</t>
  </si>
  <si>
    <t>Effects of Ratemaking - Other - UT</t>
  </si>
  <si>
    <t>Balance represents certain Utah-allocated flowthrough balances, unrelated to AFUDC Equity, that will be amortized outside of the PowerTax Fixed Asset System.</t>
  </si>
  <si>
    <t>Effects of Ratemaking - Other - WA</t>
  </si>
  <si>
    <t>Balance represents certain Washington-allocated flowthrough balances, unrelated to AFUDC Equity, that will be amortized outside of the PowerTax Fixed Asset System.</t>
  </si>
  <si>
    <t>Effects of Ratemaking - Other - WY</t>
  </si>
  <si>
    <t>Balance represents certain Wyoming-allocated flowthrough balances, unrelated to AFUDC Equity, that will be amortized outside of the PowerTax Fixed Asset System.</t>
  </si>
  <si>
    <t>RA - GRC Memo Account - CA</t>
  </si>
  <si>
    <t>Regulatory liability established to account for the revenue deferred as part of the CA GRC Revenue Requirement Memorandum Account.</t>
  </si>
  <si>
    <t>RA - Klamath Unrecovered Planat</t>
  </si>
  <si>
    <t xml:space="preserve">Regulatory asset established to defer the Lower Klamath Project Assets that are probably of recovery.  </t>
  </si>
  <si>
    <t>RA -  REC Sales Deferral - OR - Noncurrent</t>
  </si>
  <si>
    <t xml:space="preserve">Regulatory asset established for the deferral of Oregon prepaid renewable energy credit (REC) purchases for Renewable Portfolio Standard (RPS) compliance and the related interest income.  </t>
  </si>
  <si>
    <t>RS - Deferred Intervenor Funding - WA</t>
  </si>
  <si>
    <t>Regulatory asset established to record funding for qualifying intervenors that are collected from customers through Washington rates.</t>
  </si>
  <si>
    <t>RA -  REC Sales Deferral - UT - Noncurrent</t>
  </si>
  <si>
    <t xml:space="preserve">Regulatory asset established to record the difference between REC revenue included in rates and Utah’s allocation of the actual REC revenue received by the Company.  On an annual basis, the difference between actual and allocated REC revenue will be credited or charged to customers. </t>
  </si>
  <si>
    <t>RA - FAS 133 Unrealized G/L</t>
  </si>
  <si>
    <t>Regulatory asset established to record the effects of changes in fair value of certain derivative instruments entered into to hedge the Company's future retail resource requirements.</t>
  </si>
  <si>
    <t>RA - REC Sales Deferral - WY - Noncurrent</t>
  </si>
  <si>
    <t>RA - Noncurrent Reclass Other</t>
  </si>
  <si>
    <t xml:space="preserve">Regulatory account used for financial statement presentation purposes to reclass the noncurrent portion of regulatory assets for intervenor fees to liabilities when the balance of results in a credit balance instead of a debit balance.  </t>
  </si>
  <si>
    <t>RA - Alt Rate for Energy Program - (CARE) - CA Current</t>
  </si>
  <si>
    <t>Regulatory asset established to record benefits and administrative costs related to the California Alternative Rate for Energy, or CARE, program.</t>
  </si>
  <si>
    <t xml:space="preserve">National Joint Utilities </t>
  </si>
  <si>
    <t>Western Energy Institute</t>
  </si>
  <si>
    <t>Western Power Trading Forum</t>
  </si>
  <si>
    <t>350.23d</t>
  </si>
  <si>
    <t>='ATT 5 - Cost Support'!$H$274</t>
  </si>
  <si>
    <t xml:space="preserve">Line 1 - Line 4 + Line 5 + Line 6 </t>
  </si>
  <si>
    <t>2024 Projection (as-filed)</t>
  </si>
  <si>
    <t xml:space="preserve">2023 data in Settlement model </t>
  </si>
  <si>
    <t>Alltricity Network</t>
  </si>
  <si>
    <t>American Clean Power Association</t>
  </si>
  <si>
    <t xml:space="preserve">American for a Clean Energy Grid </t>
  </si>
  <si>
    <t>Assoc of Edison Illuminationg Companies</t>
  </si>
  <si>
    <t>CEATI INTERNATIONAL INC</t>
  </si>
  <si>
    <t>Center for Cliamate and Energy Solutions</t>
  </si>
  <si>
    <t>Curtiss-Wright Flow Control Serv</t>
  </si>
  <si>
    <t>International Economic Development</t>
  </si>
  <si>
    <t>National Defense Information Sharing and Analysis Center (ISAC)</t>
  </si>
  <si>
    <t>National Energy and Utility Affordability Coalition</t>
  </si>
  <si>
    <t>National Hydropower Association</t>
  </si>
  <si>
    <t>North American Energy</t>
  </si>
  <si>
    <t>Nuclear Energy Institute Inc.</t>
  </si>
  <si>
    <t xml:space="preserve">Renewable Energy Wildlife Institute </t>
  </si>
  <si>
    <t>Smart Grid Northwest, DBA Grid Forward</t>
  </si>
  <si>
    <t>Western Interstate Energy Board</t>
  </si>
  <si>
    <t>Directors' Fees - Regional Advisory Board</t>
  </si>
  <si>
    <t>2024 Expense</t>
  </si>
  <si>
    <t>MISC TRANS EXPENSE</t>
  </si>
  <si>
    <t>MAINT STATION EQIP</t>
  </si>
  <si>
    <t>METER EXPENSES</t>
  </si>
  <si>
    <t>MAINT GENERAL PLNT</t>
  </si>
  <si>
    <t>Total expense was a net debit for 2018 - 2024</t>
  </si>
  <si>
    <t>The decrease in expense in 2024 as compared to</t>
  </si>
  <si>
    <t>2023 is primarily due to changes in actuarial</t>
  </si>
  <si>
    <t>Prepayments Detail - 2024</t>
  </si>
  <si>
    <t>2024 Year-end Balance</t>
  </si>
  <si>
    <t>&lt;--2024 value (FERC 408.1)</t>
  </si>
  <si>
    <t>Applied Depreciation Rates by State - 2024</t>
  </si>
  <si>
    <t>2009-2024 Plant Additions including Unclassified Plant and Dec 2010 transfer of Goshen Cap Bank from 102 to 101</t>
  </si>
  <si>
    <r>
      <t xml:space="preserve">Plant/Land Held For Future Use </t>
    </r>
    <r>
      <rPr>
        <sz val="10"/>
        <color theme="1"/>
        <rFont val="Arial"/>
        <family val="2"/>
      </rPr>
      <t>- Assets associated with Transmission at December 31, 2023 and 2024</t>
    </r>
  </si>
  <si>
    <t>='ATT 5 - Cost Support'!$H$278</t>
  </si>
  <si>
    <t>&lt;-- 2024</t>
  </si>
  <si>
    <t>(At December 31, 2024)</t>
  </si>
  <si>
    <t>Company Records: Capital assets details (asset accounting provides)</t>
  </si>
  <si>
    <t>g34</t>
  </si>
  <si>
    <t>g35</t>
  </si>
  <si>
    <t>g36</t>
  </si>
  <si>
    <t>g37</t>
  </si>
  <si>
    <t>Page 335, Lines 6 - 36 (Business/Economic Dev. and Corp. Memberships &amp; Subscriptions)</t>
  </si>
  <si>
    <t>Lines 6 - 36</t>
  </si>
  <si>
    <t>Page 335, Lines 6-36</t>
  </si>
  <si>
    <t>Page 335, Line 37</t>
  </si>
  <si>
    <t>Page 335, Line 44</t>
  </si>
  <si>
    <t>Page 335, Lines 38-43</t>
  </si>
  <si>
    <t xml:space="preserve"> &lt;-- Matches 2024 FERC Form No. 1, page 200.21c  footnote</t>
  </si>
  <si>
    <t xml:space="preserve">&lt;-- 2024. This includes EIM Revenue Forecasting </t>
  </si>
  <si>
    <t>&lt;-- Ties to 2024 FF1 , page 328, column (h) for WAPA RS 262 billing demand MW</t>
  </si>
  <si>
    <t>='ATT 5 - Cost Support'!$H$158</t>
  </si>
  <si>
    <t>='ATT 5 - Cost Support'!$H$270</t>
  </si>
  <si>
    <t>='ATT 5 - Cost Support'!$H$271</t>
  </si>
  <si>
    <t>='ATT 5 - Cost Support'!$H$272</t>
  </si>
  <si>
    <t>='ATT 5 - Cost Support'!$H$273</t>
  </si>
  <si>
    <t>='ATT 5 - Cost Support'!$H$275</t>
  </si>
  <si>
    <t>='ATT 5 - Cost Support'!$H$267</t>
  </si>
  <si>
    <t>='ATT 5 - Cost Support'!$i$223</t>
  </si>
  <si>
    <t>='ATT 5 - Cost Support'!$H$312</t>
  </si>
  <si>
    <t>='ATT 5 - Cost Support'!$H$313</t>
  </si>
  <si>
    <t>='ATT 5 - Cost Support'!$H$302</t>
  </si>
  <si>
    <t>='ATT 5 - Cost Support'!$H$303</t>
  </si>
  <si>
    <t>='ATT 5 - Cost Support'!$H$307</t>
  </si>
  <si>
    <t>='ATT 5 - Cost Support'!$H$308</t>
  </si>
  <si>
    <t>PacifiCorp tax rate assumptions - 2024</t>
  </si>
  <si>
    <t xml:space="preserve">Company Records: component of 2024 FERC Form No.1, page 300.21b </t>
  </si>
  <si>
    <t>2024 FERC Form No.1, page 300.21b footnote</t>
  </si>
  <si>
    <t>2024 FERC Form No.1, page 300.21b footnote (GL 301955)</t>
  </si>
  <si>
    <t>Intangible and Leasehold Improvements (rows 23 through 25) are composite rates based on the 13 month average balance divided into the 2024 amortization expense for each account.</t>
  </si>
  <si>
    <t>RL - Plant Closure Cost - CA</t>
  </si>
  <si>
    <t>Regulatory liability established pursuant to Docket No. A.22-05-006 to record the authorized plant closure costs for Colstrip Units 3 &amp; 4, Craig Unit 2, Hayden Units 1 &amp; 2, and Naughton Units 1 &amp; 2.</t>
  </si>
  <si>
    <t xml:space="preserve">Regulatory liability established to record the authorized deferral of accelerated depreciation and reclamation costs for the Bridger Mine incremental to the amounts included in the cost of coal delivered to the Jim Bridger Plant, pursuant to Docket UE-374, Order 20-473.  </t>
  </si>
  <si>
    <t>RL - Pension Settlement - UT</t>
  </si>
  <si>
    <t>Regulatory liability established pursuant to Docket No. 21-035-14 to establish the Pension Settlement Adjustment Balancing Account (PSABA).</t>
  </si>
  <si>
    <t>RL - Transmission Rate True up</t>
  </si>
  <si>
    <t>Regulatory liability established to reserve transmission rate projection revenue recoveries.</t>
  </si>
  <si>
    <t>Regulatory liability established to account for the Washington decoupling mechanism.</t>
  </si>
  <si>
    <t xml:space="preserve">Regulatory Liability established per Order No. 15-060 in Docket UE-267, PacifiCorp is required to implement a 5 year customer opt-out plan. Customers that elect to go on the opt-out program and leave PacifiCorp's system will be required to pay an opt-out charge for up to 5 years. </t>
  </si>
  <si>
    <t>RL - Gain on Sale of Assets - OR</t>
  </si>
  <si>
    <t>Regulatory liability established to pass gains on property sales to Oregon customers.</t>
  </si>
  <si>
    <t>RL - BPA Balancing Account - OR</t>
  </si>
  <si>
    <t>Balancing account to record the deferral of incentive benefits the Company passes on to Oregon customers and is reimbursed from Bonneville Power Administration (BPA).</t>
  </si>
  <si>
    <t>DTA UT Government Interest Tax Credit Carryforward</t>
  </si>
  <si>
    <t>Utah government interest state tax credit carryforward.</t>
  </si>
  <si>
    <t>Joint Owner Receivable in Disbute</t>
  </si>
  <si>
    <t>Represents a contra account against a receivable from a joint owner that is in dispute.</t>
  </si>
  <si>
    <t>This account is to reclass the deferred tax balances related to regulatory assets or liabilities where the balance of the regulatory assets result in a credit balance instead of a debit balance, or vice versa.  This portion of the account is specifically related to the reclass of the deferred tax balances on regulatory liability balances that are presented as FERC 228.2.</t>
  </si>
  <si>
    <t>FAS 133 Derivitives - Book Unrealized</t>
  </si>
  <si>
    <t xml:space="preserve">FAS 133 derivative gains and losses arise from PacifiCorp's application of FAS 133 which requires that certain financial instruments (including derivatives and hedging instruments) be valued at FMV for book purposes, regardless if they are involved in a closed transaction.  </t>
  </si>
  <si>
    <t>PacifiCorp installed solar arrays. The projects are qualified for the 30% solar investment tax credit (ITC). The tax basis of the solar arrays needs to be reduced by one-half of the solar ITC, therefore creating basis differences between book basis and tax basis for the solar arrays.  This account also records the regulatory asset impacts related to the basis difference caused by other federal tax credits (Alternative Fuel Vehicle Refueling Property Credit).</t>
  </si>
  <si>
    <t>Oregon Disallowed Loss</t>
  </si>
  <si>
    <t>Oregon partial disallowance of certain transmission wildfire mitigation investments.</t>
  </si>
  <si>
    <t>The projects are qualified for the 30% solar investment tax credit (ITC). The tax basis of the solar arrays needs to be reduced by one-half of the solar ITC, therefore creating basis differences between book basis and tax basis for the solar arrays.  This account also records the basis difference caused by other federal tax credits (Alternative Fuel Vehicle Refueling Property Credit).</t>
  </si>
  <si>
    <t>RA - WA Decoupling Mechanism</t>
  </si>
  <si>
    <t>Regulatory asset established to account for the Washington decoupling mechanism.</t>
  </si>
  <si>
    <t>RA - Idaho RTM</t>
  </si>
  <si>
    <t>Regulatory asset established pursuant to Docket PAC-E-17-06, Order No. 33954 and PAC-E-17-07, Order No. 34104, where the Idaho Public Utilities Commission authorized the company to defer the costs and benefits for certain repowered and new wind facilities through a Resource Tracker Mechanism (RTM) included as a component of the Energy Cost Adjustment Mechanism (ECAM) up to the amount of benefits customers received from those projects.</t>
  </si>
  <si>
    <t>RA - Electric Vehicle Charging Infrastructure - CA</t>
  </si>
  <si>
    <t>Regulatory asset established pursant to CA Public Utilites Commission Resolution E-5168 aand Assembly Bill 841 to record deferred expenses related to CA Electric  Vehical Infrastructure Memo Acccount.</t>
  </si>
  <si>
    <t>RA - NTO Transfer Deferral</t>
  </si>
  <si>
    <t>Regulatory asset established to track the North Temple Property (NTP or NTO) balancing account approved by the California Public Utilities Commission.</t>
  </si>
  <si>
    <t>RA - Deferred Insurance Premium - ID</t>
  </si>
  <si>
    <t xml:space="preserve">Regulatory asset established pursuant to Docket No. PAC-E-24-04, Order 36424, the Idaho Public Utility Commission authorized the deferral of Idaho's share of excess liability insurance premiums to be deferred and amortized over three years beginning January 1, 2025.   </t>
  </si>
  <si>
    <t>RA - Deferred Insurance Premium - OR</t>
  </si>
  <si>
    <t xml:space="preserve">Regulatory asset established pursuant to Docket No. UE 433, Order 24-447, received December 19, 2024, the Oregon Public Utilities Commission authorized the deferral and recovery of Oregon's share of 90% of the company's estimate of excess liability insurance premium expense, in addition to the related interest.    </t>
  </si>
  <si>
    <t>Regulatory asset established for Utah portion of liquidated damages payments for outages at Jim Bridger Unit 4, Naughton Unit 1 and Unit 2.</t>
  </si>
  <si>
    <t>The projects are qualified for the 30% solar investment tax credit (ITC).  The tax basis of the solar arrays needs to be reduced by one-half of the solar ITC, therefore creating basis differences between book basis and tax basis for the solar arrays.  This is the revenue requirement gross-up for that difference.  This account also records the gross-up related to the basis difference caused by other federal tax credits (Alternative Fuel Vehicle Refueling Property Credit).</t>
  </si>
  <si>
    <t>Regulatory asset established to record Idaho's share of the deferral of increased depreciation due to the implementation of new rates on January 1, 2014 and the implementation of new rates effective January 1, 2021.</t>
  </si>
  <si>
    <t>Regulatory asset established to record Utah's share of the deferral of increased depreciation due to the implementation of new rates on January 1, 2014.</t>
  </si>
  <si>
    <t>='Att 1 - ADIT'!$E$157</t>
  </si>
  <si>
    <t>='Att 1 - ADIT'!$E$183</t>
  </si>
  <si>
    <t>='Att 1 - ADIT'!$E$262</t>
  </si>
  <si>
    <t>='Att 1 - ADIT'!$E$404</t>
  </si>
  <si>
    <t>='Att 1a - ADIT'!$E$166</t>
  </si>
  <si>
    <t>='Att 1a - ADIT'!$E$192</t>
  </si>
  <si>
    <t>='Att 1a - ADIT'!$E$272</t>
  </si>
  <si>
    <t>='Att 1a - ADIT'!$E$420</t>
  </si>
  <si>
    <t xml:space="preserve">This workbook is provided as a reference only to show the effect of correcting errors known as of May 14, 2025, in the published 2025 annual update (2024 True-up) of PacifiCorp's transmission formula. </t>
  </si>
  <si>
    <t>Legact DR 1.2-1st SUPP</t>
  </si>
  <si>
    <t>Att 5 and Appendix A</t>
  </si>
  <si>
    <t>excel cell H42 on Appendix A</t>
  </si>
  <si>
    <r>
      <t>·</t>
    </r>
    <r>
      <rPr>
        <sz val="7"/>
        <color theme="1"/>
        <rFont val="Times New Roman"/>
        <family val="1"/>
      </rPr>
      <t xml:space="preserve">         </t>
    </r>
    <r>
      <rPr>
        <sz val="12"/>
        <color theme="1"/>
        <rFont val="Times New Roman"/>
        <family val="1"/>
      </rPr>
      <t>As discussed in the Company’s response to Information Request Bonneville Power Administration (BPA) 3.2, while the Company disagrees with BPA that the cost of the bulldozer belongs in Production Account 312, in the spirit of compromise PacifiCorp agrees to reclass the “300 Coal Handling 844 Dozer Rebuild” gross asset balance of $1,225,098.18, that in 2023 was recorded to FERC Account 396 (Power Operated Equipment) to the Production FERC Account 312 (Boiler Plant equipment). This correction will be appropriately reflected in the amounts to be refunded/surcharged to customers in accordance with the Protocols. The impact of the reclass to the 2023 True-Up rate is approximately 0.0015 percent or $0.75/megawatts (MW)-year.</t>
    </r>
  </si>
  <si>
    <t>updated (moved from general to production)</t>
  </si>
  <si>
    <t>excel cell H118</t>
  </si>
  <si>
    <r>
      <t>·</t>
    </r>
    <r>
      <rPr>
        <sz val="7"/>
        <color rgb="FF000000"/>
        <rFont val="Times New Roman"/>
        <family val="1"/>
      </rPr>
      <t xml:space="preserve">         </t>
    </r>
    <r>
      <rPr>
        <sz val="12"/>
        <color rgb="FF000000"/>
        <rFont val="Times New Roman"/>
        <family val="1"/>
      </rPr>
      <t>As discussed in the Company’s response to Information Request BPA 3.5, PacifiCorp recorded a Wyoming House Bill (HB) 200 amortization expense of previously incurred costs related to Wyoming HB 200 requirements to FERC administrative and general (A&amp;G) FERC Account 923. PacifiCorp recognizes that the total A&amp;G amount should be lowered by $746,988.81 in the Transmission Formula Rate. This correction will be appropriately reflected in the amounts to be refunded/surcharged to customers in accordance with the protocols. The impact of to the 2023 True-Up rate is approximately 0.01 percent.</t>
    </r>
  </si>
  <si>
    <t>updated</t>
  </si>
  <si>
    <r>
      <t>·</t>
    </r>
    <r>
      <rPr>
        <sz val="7"/>
        <color rgb="FF000000"/>
        <rFont val="Times New Roman"/>
        <family val="1"/>
      </rPr>
      <t xml:space="preserve">         </t>
    </r>
    <r>
      <rPr>
        <sz val="12"/>
        <color rgb="FF000000"/>
        <rFont val="Times New Roman"/>
        <family val="1"/>
      </rPr>
      <t>As discussed in the Company’s response to Information Request Legacy Customers 3.11c, PacifiCorp recorded a West Associates expense of $22,831 to GL 545550 - Settlement Fees (FERC 923) instead of 545550- Club/Organization Membership (FERC 930.2). This will have a de minimus impact to the formula rate, but the correction will be appropriately reflected in the amounts to be refunded/surcharged to customers in accordance with the protocols.</t>
    </r>
  </si>
  <si>
    <t>BPA preliminary challenge</t>
  </si>
  <si>
    <t>excel cell H112</t>
  </si>
  <si>
    <r>
      <t xml:space="preserve">PacifiCorp appreciates BPA’s concern with respect to transmission facilities and related O&amp;M expenses that it views as “unverified.”  The Company disagrees, however, with BPA that an additional analysis, such as FERC’s Seven-Factor test or the </t>
    </r>
    <r>
      <rPr>
        <i/>
        <sz val="12"/>
        <color theme="1"/>
        <rFont val="Times New Roman"/>
        <family val="1"/>
      </rPr>
      <t>Mansfield</t>
    </r>
    <r>
      <rPr>
        <sz val="12"/>
        <color theme="1"/>
        <rFont val="Times New Roman"/>
        <family val="1"/>
      </rPr>
      <t xml:space="preserve"> five-factor test, must be undertaken.  BPA cites no precedent for its assertion that a Seven-Factor or a </t>
    </r>
    <r>
      <rPr>
        <i/>
        <sz val="12"/>
        <color theme="1"/>
        <rFont val="Times New Roman"/>
        <family val="1"/>
      </rPr>
      <t>Mansfield</t>
    </r>
    <r>
      <rPr>
        <sz val="12"/>
        <color theme="1"/>
        <rFont val="Times New Roman"/>
        <family val="1"/>
      </rPr>
      <t xml:space="preserve"> analysis must be performed to support the inclusion of transmission facilities in transmission plant, and related transmission O&amp;M in transmission charges, even when the facilities are lower voltage, local transmission facilities.  The transmission facilities in question are appropriately functionalized to transmission plant.  However, without waiving any arguments as to the propriety of its accounting or support files, and in the spirit of compromise and to expedite the resolution of this issue and the other preliminary challenge, PacifiCorp will agree to a one-time adjustment for the 2024 Annual Update in the total amount of $183,000 reflecting the removal of $103,000 from O&amp;M FERC Account 570 and $80,000 from O&amp;M FERC Account 572. Account PacifiCorp would like to iterate that this adjustment is not to set precedent, but in the spirit of compromise.</t>
    </r>
  </si>
  <si>
    <t>2024/2025 Discovery</t>
  </si>
  <si>
    <t>Company Records: Sum of SAP GL accounts #285461 (Transm Interconnection Deposits - w/ ESM ) and #285460 (Transm interconnetion Deposits 3rd party).</t>
  </si>
  <si>
    <t>Company Records: Sum of SAP GL  585914 (Interest Expense - Transmission Deposits (third party) and 185354 (ESM-Transm Svc Deposit-Due to Pac Energy).</t>
  </si>
  <si>
    <t>Real Property (Arizona)</t>
  </si>
  <si>
    <t>Real Property (California)</t>
  </si>
  <si>
    <t>Real Property (Colorado)</t>
  </si>
  <si>
    <t>Real Property (Idaho)</t>
  </si>
  <si>
    <t>Real Property (Montana)</t>
  </si>
  <si>
    <t>Real Property (New Mexico)</t>
  </si>
  <si>
    <t>Real Property (Oregon)</t>
  </si>
  <si>
    <t>Real Property (Utah)</t>
  </si>
  <si>
    <t>Real Property (Washington)</t>
  </si>
  <si>
    <t>Real Property (Wyoming)</t>
  </si>
  <si>
    <t>Possessory - Goshute</t>
  </si>
  <si>
    <t>Possessory - Sho-Ban</t>
  </si>
  <si>
    <t>Possessory - Navajo</t>
  </si>
  <si>
    <t>Possessory - Ute</t>
  </si>
  <si>
    <t>Possessory - Crow</t>
  </si>
  <si>
    <t>Possessory - Umatilla</t>
  </si>
  <si>
    <t>Annual Report - Wyoming</t>
  </si>
  <si>
    <t>Foreign Insurance Premium - Federal Insurance Tax</t>
  </si>
  <si>
    <t>Arizona Public Service RS 436</t>
  </si>
  <si>
    <t>BPA: GTA West RS 237</t>
  </si>
  <si>
    <t xml:space="preserve">n/a </t>
  </si>
  <si>
    <t>BPA Malin RS 368</t>
  </si>
  <si>
    <t>BPA GTA S. Idaho RS 299</t>
  </si>
  <si>
    <t>Cowlitz RS 234</t>
  </si>
  <si>
    <t>Deseret RS 280</t>
  </si>
  <si>
    <t>Enel Cove Deferral Fee</t>
  </si>
  <si>
    <t>Fall River RS 322</t>
  </si>
  <si>
    <t>Idaho RS 257 - Antelope Sub</t>
  </si>
  <si>
    <t>Idaho RS 203 - Jim Bridger Pumps</t>
  </si>
  <si>
    <t>Moon Lake RS 302</t>
  </si>
  <si>
    <t>Obsidian Deferral</t>
  </si>
  <si>
    <t>Pacific Gas and Electric RS 607</t>
  </si>
  <si>
    <t>Pacific Gas and Electric RS 298</t>
  </si>
  <si>
    <t>Portland General Electric</t>
  </si>
  <si>
    <t>Sierra Pacific Power RS 267</t>
  </si>
  <si>
    <t>Southern Cal Edison RS 298</t>
  </si>
  <si>
    <t>Tri-State RS 123</t>
  </si>
  <si>
    <t>USBR Crooked River RS 67</t>
  </si>
  <si>
    <t>USBR Weber Basin RS 286</t>
  </si>
  <si>
    <t>UAMPS RS 297</t>
  </si>
  <si>
    <t>UMPA RS 637</t>
  </si>
  <si>
    <t>Warm Springs RS 591</t>
  </si>
  <si>
    <t>WAPA RS 262</t>
  </si>
  <si>
    <t>WAPA RS 262-Fixed Fee</t>
  </si>
  <si>
    <t>WAPA RS 263</t>
  </si>
  <si>
    <t>Iberdrola Deferral Fee</t>
  </si>
  <si>
    <t>Sacramento Municipal Utility District Deferral Fee</t>
  </si>
  <si>
    <t>Additional OS Revenue Credit</t>
  </si>
  <si>
    <t>BPA Yakama</t>
  </si>
  <si>
    <t>BPA Gazley</t>
  </si>
  <si>
    <t>BPA Clarke PUD</t>
  </si>
  <si>
    <t>BPA: Benton REA</t>
  </si>
  <si>
    <t>BPA Oregon Wind</t>
  </si>
  <si>
    <t>BPA CEC</t>
  </si>
  <si>
    <t>BPA Airport Solar</t>
  </si>
  <si>
    <t>BPA WEID</t>
  </si>
  <si>
    <t xml:space="preserve"> Tri-State</t>
  </si>
  <si>
    <t>Calpine Energy Solutions LLC</t>
  </si>
  <si>
    <t>Basin Electric</t>
  </si>
  <si>
    <t>Montana- Dakota Utilities, Co.</t>
  </si>
  <si>
    <t xml:space="preserve">USBR </t>
  </si>
  <si>
    <t>WAPA</t>
  </si>
  <si>
    <t>Avangrid Renewables, LLC</t>
  </si>
  <si>
    <t>Exelon</t>
  </si>
  <si>
    <t>BPA South East Idaho</t>
  </si>
  <si>
    <t>BPA Idaho Falls</t>
  </si>
  <si>
    <t>NTUA</t>
  </si>
  <si>
    <t>SA 328</t>
  </si>
  <si>
    <t>SA 229</t>
  </si>
  <si>
    <t>SA 735</t>
  </si>
  <si>
    <t>SA 539</t>
  </si>
  <si>
    <t>SA 538</t>
  </si>
  <si>
    <t>SA 827</t>
  </si>
  <si>
    <t>SA 865</t>
  </si>
  <si>
    <t>SA 975</t>
  </si>
  <si>
    <t>SA 628</t>
  </si>
  <si>
    <t>SA 299</t>
  </si>
  <si>
    <t>SA 505</t>
  </si>
  <si>
    <t>SA 1097</t>
  </si>
  <si>
    <t>SA 506</t>
  </si>
  <si>
    <t>SA 175</t>
  </si>
  <si>
    <t>SA 742</t>
  </si>
  <si>
    <t>SA 943</t>
  </si>
  <si>
    <t>SA 746</t>
  </si>
  <si>
    <t>SA 747</t>
  </si>
  <si>
    <t>SA 894</t>
  </si>
  <si>
    <t>Airport Solar</t>
  </si>
  <si>
    <t>Avangrid</t>
  </si>
  <si>
    <t>BPA</t>
  </si>
  <si>
    <t>City of Roseville</t>
  </si>
  <si>
    <t>Clatskanie Peoples Utiliti District</t>
  </si>
  <si>
    <t>Evergreen Bio</t>
  </si>
  <si>
    <t xml:space="preserve"> Energy Keepers </t>
  </si>
  <si>
    <t>Falls Creek</t>
  </si>
  <si>
    <t>Garrrett Solar</t>
  </si>
  <si>
    <t>Idaho Power</t>
  </si>
  <si>
    <t>Phillips 66</t>
  </si>
  <si>
    <t>Powerex</t>
  </si>
  <si>
    <t xml:space="preserve"> Shell Energy North America (US), L.P </t>
  </si>
  <si>
    <t>State of SD</t>
  </si>
  <si>
    <t>Sacramento Muncipal Utility District</t>
  </si>
  <si>
    <t>Salt River Project Agricultural Improvement and Power District</t>
  </si>
  <si>
    <t xml:space="preserve"> Morgan Stanley Capital Group Inc. </t>
  </si>
  <si>
    <t xml:space="preserve"> Tenaska </t>
  </si>
  <si>
    <t>Thermo No 1 (CRYQ)</t>
  </si>
  <si>
    <t>Losses</t>
  </si>
  <si>
    <t>Various</t>
  </si>
  <si>
    <t>SA 965</t>
  </si>
  <si>
    <t>SA 895</t>
  </si>
  <si>
    <t>SA 656</t>
  </si>
  <si>
    <t>SA 881</t>
  </si>
  <si>
    <t>SA 899</t>
  </si>
  <si>
    <t>SA 874</t>
  </si>
  <si>
    <t>SA 1055</t>
  </si>
  <si>
    <t>SA 868</t>
  </si>
  <si>
    <t>SA 1142</t>
  </si>
  <si>
    <t>SA 212</t>
  </si>
  <si>
    <t>SA 1023</t>
  </si>
  <si>
    <t>SA 1102</t>
  </si>
  <si>
    <t>SA 169</t>
  </si>
  <si>
    <t>SA 700</t>
  </si>
  <si>
    <t>SA 701</t>
  </si>
  <si>
    <t>SA 702</t>
  </si>
  <si>
    <t>SA 748</t>
  </si>
  <si>
    <t>SA 749</t>
  </si>
  <si>
    <t>SA 995</t>
  </si>
  <si>
    <t>SA 996</t>
  </si>
  <si>
    <t>SA 1035</t>
  </si>
  <si>
    <t>SA 1036</t>
  </si>
  <si>
    <t>SA 791</t>
  </si>
  <si>
    <t>SA 1137</t>
  </si>
  <si>
    <t>SA 863</t>
  </si>
  <si>
    <t>SA 809</t>
  </si>
  <si>
    <t>SA 780</t>
  </si>
  <si>
    <t>SA 1100</t>
  </si>
  <si>
    <t>SA 568</t>
  </si>
  <si>
    <t>Black Hills</t>
  </si>
  <si>
    <t>SA 347</t>
  </si>
  <si>
    <t>3 Phases Renewables Inc.</t>
  </si>
  <si>
    <t>Montana Dakota</t>
  </si>
  <si>
    <t>SA 876</t>
  </si>
  <si>
    <t>Black Hills, Inc.</t>
  </si>
  <si>
    <t>SA 67</t>
  </si>
  <si>
    <t>SA 179</t>
  </si>
  <si>
    <t>SA 900</t>
  </si>
  <si>
    <t>SA 901</t>
  </si>
  <si>
    <t>SA 1016</t>
  </si>
  <si>
    <t>SA 1017</t>
  </si>
  <si>
    <t>SA 779</t>
  </si>
  <si>
    <t>SA 966</t>
  </si>
  <si>
    <t>SA868</t>
  </si>
  <si>
    <t>Prep Ins-Publ Liab &amp; Prop Damage</t>
  </si>
  <si>
    <t/>
  </si>
  <si>
    <t>Prep Ins-All Purpose Insurance</t>
  </si>
  <si>
    <t>Prep Ins-D&amp;O Liability</t>
  </si>
  <si>
    <t>Prep Ins-Minority Owned Plants</t>
  </si>
  <si>
    <t>Prepaid Workers Compensation</t>
  </si>
  <si>
    <t>Prepaid Employee Benefit Costs</t>
  </si>
  <si>
    <t>I/C Prepaid Captive Prop Insur - MEHC</t>
  </si>
  <si>
    <t>I/C Prepaid Captive Liab Insur - MEHC</t>
  </si>
  <si>
    <t>OR-Prepaid Property Tax</t>
  </si>
  <si>
    <t>Prepaid Taxes (Federal, State, Local)</t>
  </si>
  <si>
    <t>Other Prepayments - Oregon DOE Fee</t>
  </si>
  <si>
    <t>Prepaid Emissions Permit Fees (UT)</t>
  </si>
  <si>
    <t>Prepaid RECs for RPS (WA)</t>
  </si>
  <si>
    <t>Prepaid CA GHG Cap &amp; Trade Allowances Retail</t>
  </si>
  <si>
    <t>Prepaid CA GHG Cap &amp; Trade Allowances Wholesale</t>
  </si>
  <si>
    <t>Prepaid WA GHG Wholesale - Current</t>
  </si>
  <si>
    <t>Prepaid Rating Agency Fees</t>
  </si>
  <si>
    <t>Prepaid Surety Bond</t>
  </si>
  <si>
    <t>Prepaid Cedar Springs II</t>
  </si>
  <si>
    <t>Prepaid Dunlap</t>
  </si>
  <si>
    <t>Prepaid GlenRock I</t>
  </si>
  <si>
    <t>Prepaid GlenRock II</t>
  </si>
  <si>
    <t>Prepaid Goodnoe Hills</t>
  </si>
  <si>
    <t>Prepaid High Plains</t>
  </si>
  <si>
    <t>Prepaid Leaning Juniper</t>
  </si>
  <si>
    <t>Prepaid Marengo II</t>
  </si>
  <si>
    <t>Prepaid McFadden Ridge</t>
  </si>
  <si>
    <t>Prepaid Pryor Mtn</t>
  </si>
  <si>
    <t>Prepaid Rolling Hills</t>
  </si>
  <si>
    <t>Prepaid Seven Mile I</t>
  </si>
  <si>
    <t>Prepaid Seven Mile II</t>
  </si>
  <si>
    <t>Prepaid TB Flats I</t>
  </si>
  <si>
    <t>Other Prepay-Ashton Plant Land</t>
  </si>
  <si>
    <t>Other Prepay - Lease Commissions</t>
  </si>
  <si>
    <t>Prepayments - Water Rights Lease</t>
  </si>
  <si>
    <t>Prepayments - Water Rights (Ferron Canal)</t>
  </si>
  <si>
    <t>Prepayments - Water Rights (Hntngtn-Clev)</t>
  </si>
  <si>
    <t>Prepaid Lake Side CUWCD Water Fee</t>
  </si>
  <si>
    <t>Prepaid OR Renewal &amp; Habitat Restoration</t>
  </si>
  <si>
    <t>Prepaid Dues</t>
  </si>
  <si>
    <t>Prepaid Rent</t>
  </si>
  <si>
    <t>Prepaid Pole Contact Rental</t>
  </si>
  <si>
    <t>Prepaid O&amp;M - Wind</t>
  </si>
  <si>
    <t>Prepaid Aircraft Maint</t>
  </si>
  <si>
    <t>Prepaid LGIA Transmission</t>
  </si>
  <si>
    <t>Prepaid BPA Transmission - Wine Country</t>
  </si>
  <si>
    <t>Prepayments - Other</t>
  </si>
  <si>
    <t>Prep Fees-Oregon Pub Util Commission</t>
  </si>
  <si>
    <t>Prep Fees-Utah Public Service Commission</t>
  </si>
  <si>
    <t>Prep Fees-Idaho Pub Util Commission</t>
  </si>
  <si>
    <t>Prepaid Vehicle Licensing Fees</t>
  </si>
  <si>
    <t>Prepayments - Hardware &amp; Software</t>
  </si>
  <si>
    <t>Prepaid Royalties</t>
  </si>
  <si>
    <t>Prepaid CA GHG Retail - Non-Current</t>
  </si>
  <si>
    <t>Prepaid CA GHG Wholesale - Non-Current</t>
  </si>
  <si>
    <t>Prepaid WA GHG Wholesale - Non-Current</t>
  </si>
  <si>
    <t>LT Prepayments - Other</t>
  </si>
  <si>
    <t>Prepaid Interest Company-Owned Life Ins</t>
  </si>
  <si>
    <t>Prepaid Interest - SERP Life Insurance</t>
  </si>
  <si>
    <t>Discount on Short-Term Securities</t>
  </si>
  <si>
    <t>Prepaid Mining Costs</t>
  </si>
  <si>
    <t>CA GHG Retail Obligation</t>
  </si>
  <si>
    <t>Estimate by C&amp;T</t>
  </si>
  <si>
    <t>Unfunded</t>
  </si>
  <si>
    <t>546526</t>
  </si>
  <si>
    <t>CA GHG Wholesale Obligation (Current)</t>
  </si>
  <si>
    <t>546516</t>
  </si>
  <si>
    <t>CA GHG Wholesale Obligation (NonCurrent)</t>
  </si>
  <si>
    <t>WA GHG Wholesale Obligation (Current)</t>
  </si>
  <si>
    <t>546515</t>
  </si>
  <si>
    <t>WA GHG Wholesale Obligation (NonCurrent)</t>
  </si>
  <si>
    <t>BTL Settlements (Other)</t>
  </si>
  <si>
    <t>Estimate by Legal</t>
  </si>
  <si>
    <t>545500, 545501, 505502</t>
  </si>
  <si>
    <t>Wholesale Contingent Liabilities</t>
  </si>
  <si>
    <t>505219</t>
  </si>
  <si>
    <t>Accum Provision for Rate Refunds - Transmission</t>
  </si>
  <si>
    <t>301913</t>
  </si>
  <si>
    <t xml:space="preserve">Trapper Mine Reclamation Obligation </t>
  </si>
  <si>
    <t>Estimate by Fuels</t>
  </si>
  <si>
    <t>120163, 515100</t>
  </si>
  <si>
    <t>Accrued Right-of-Way Obligation (100% Transmission)</t>
  </si>
  <si>
    <t>Estimate by RMP Finance</t>
  </si>
  <si>
    <t>582300</t>
  </si>
  <si>
    <t>560, 566, 567</t>
  </si>
  <si>
    <t>Accrued Right-of-Way Obligation (Other)</t>
  </si>
  <si>
    <t>Prov for Injuries &amp; Damages: Claims ("Other")</t>
  </si>
  <si>
    <t>Estimate by Legal ("Other")</t>
  </si>
  <si>
    <t>545050</t>
  </si>
  <si>
    <t>Catastrophic Wildfire Claims ("Other")</t>
  </si>
  <si>
    <t>Contra Joint Owner Receivable in Dispute</t>
  </si>
  <si>
    <t>549300</t>
  </si>
  <si>
    <t>Injuries &amp; Damages Reserve Risk (Insurance Recovery-"Other")</t>
  </si>
  <si>
    <t>Self-Insured Property Reserve - Pacific Power</t>
  </si>
  <si>
    <t>545000</t>
  </si>
  <si>
    <t xml:space="preserve">Provision for Customer A/R (CSS)                                                  </t>
  </si>
  <si>
    <t>Calculation based on actuals</t>
  </si>
  <si>
    <t>550750</t>
  </si>
  <si>
    <t xml:space="preserve">Provision for Other A/R (OAR)   </t>
  </si>
  <si>
    <t>Bad Debt Reserve Joint Use</t>
  </si>
  <si>
    <t>301869</t>
  </si>
  <si>
    <t>Bad Debt Reserve - Pole Contracts</t>
  </si>
  <si>
    <t>Uncollectible pole contact revenue - customer specific</t>
  </si>
  <si>
    <t>550776</t>
  </si>
  <si>
    <t>Provision for Doubtful Debts - Other</t>
  </si>
  <si>
    <t>Bad Debt Reserve - Transmission</t>
  </si>
  <si>
    <t>550775</t>
  </si>
  <si>
    <t>Allowance for Accounts Receivable</t>
  </si>
  <si>
    <t>Inventory Reserve - Power Supply</t>
  </si>
  <si>
    <t>Various G/L's</t>
  </si>
  <si>
    <t>506, 553, 557</t>
  </si>
  <si>
    <t>Inventory Reserve - RMP (T&amp;D)</t>
  </si>
  <si>
    <t>516900</t>
  </si>
  <si>
    <t>Inventory Reserve - PP (T&amp;D)</t>
  </si>
  <si>
    <t>Estimate by PP Finance</t>
  </si>
  <si>
    <t>593, 598</t>
  </si>
  <si>
    <t>Construction Work-in-Progress (CWIP) Reserve</t>
  </si>
  <si>
    <t>Estimate by PP/RMP Finance</t>
  </si>
  <si>
    <t>545990</t>
  </si>
  <si>
    <t>548, 557, 573, 598, 935</t>
  </si>
  <si>
    <t>Uncollectible Weatherization Loans Reserve</t>
  </si>
  <si>
    <t>Estimate based on historical trend</t>
  </si>
  <si>
    <t>Accrued Liquated Damages (Current) - Naughton</t>
  </si>
  <si>
    <t>120151, 515100</t>
  </si>
  <si>
    <t>151, 501</t>
  </si>
  <si>
    <t>Accrual - Severance Payments</t>
  </si>
  <si>
    <t>Follows Labor</t>
  </si>
  <si>
    <t>Annual Incentive Plan (AIP)</t>
  </si>
  <si>
    <t>Estimate plus CEO Discretion</t>
  </si>
  <si>
    <t>500410</t>
  </si>
  <si>
    <t>401(K) Discretionary 1% Company Match</t>
  </si>
  <si>
    <t>501250</t>
  </si>
  <si>
    <t>Safety Awards Payable</t>
  </si>
  <si>
    <t>500400</t>
  </si>
  <si>
    <t>Vacation Accrual IBEW 57</t>
  </si>
  <si>
    <t>Calculation by Payroll</t>
  </si>
  <si>
    <t>500515</t>
  </si>
  <si>
    <t>Vacation Accrual IBEW 125</t>
  </si>
  <si>
    <t>500517</t>
  </si>
  <si>
    <t>Vacation Accrual IBEW 659</t>
  </si>
  <si>
    <t>500520</t>
  </si>
  <si>
    <t>Personal Time Accrual IBEW 77 - Chehalis</t>
  </si>
  <si>
    <t>Personal Time Accrual IBEW 57 - Laramie</t>
  </si>
  <si>
    <t>Personal Time Accrual UWUA 127</t>
  </si>
  <si>
    <t>500518</t>
  </si>
  <si>
    <t>Personal Time Accrual UWUA 197</t>
  </si>
  <si>
    <t>500519</t>
  </si>
  <si>
    <t>Personal Time Accrual Non-Union</t>
  </si>
  <si>
    <t>500516</t>
  </si>
  <si>
    <t>Personal Time Accrual IBEW 57</t>
  </si>
  <si>
    <t>Sick Leave Accrual IBEW 57</t>
  </si>
  <si>
    <t>Supplemental Pension Benefits (Retirement Allowances)</t>
  </si>
  <si>
    <t>Calculation by HR</t>
  </si>
  <si>
    <t>585909</t>
  </si>
  <si>
    <t>Calculation based on actuarial</t>
  </si>
  <si>
    <t>554032</t>
  </si>
  <si>
    <t>Follows Labor, 926</t>
  </si>
  <si>
    <t>FAS 158 SERP Accumulated Other Comprehensive Income</t>
  </si>
  <si>
    <t>Accum OCI / partially offsetting unfunded SERP liability</t>
  </si>
  <si>
    <t>FAS 112 Book Reserve</t>
  </si>
  <si>
    <t>501160</t>
  </si>
  <si>
    <t>Wasatch Worker's Compensation Reserve</t>
  </si>
  <si>
    <t>2025 projection</t>
  </si>
  <si>
    <t xml:space="preserve">Gateway plant-in-service detail (2025 projection) </t>
  </si>
  <si>
    <r>
      <t xml:space="preserve">Attachment 9a3 - Load </t>
    </r>
    <r>
      <rPr>
        <sz val="12"/>
        <color theme="1"/>
        <rFont val="Arial"/>
        <family val="2"/>
      </rPr>
      <t>(Two Year Prior)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</si>
</sst>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quot; Form 1 data&quot;"/>
    <numFmt numFmtId="166" formatCode="0.0%"/>
    <numFmt numFmtId="167" formatCode="0.0000%"/>
    <numFmt numFmtId="168" formatCode="0.000%"/>
    <numFmt numFmtId="169" formatCode="0.0000"/>
    <numFmt numFmtId="170" formatCode="0.00000"/>
    <numFmt numFmtId="171" formatCode="&quot;$&quot;#,##0.00"/>
    <numFmt numFmtId="172" formatCode="General_)"/>
    <numFmt numFmtId="173" formatCode="#,##0.000000_);\(#,##0.000000\)"/>
    <numFmt numFmtId="174" formatCode="#,##0.00000_);\(#,##0.00000\)"/>
    <numFmt numFmtId="175" formatCode="&quot;$&quot;#,##0.000000_);\(&quot;$&quot;#,##0.000000\)"/>
    <numFmt numFmtId="176" formatCode="&quot;$&quot;#,##0.000_);\(&quot;$&quot;#,##0.000\)"/>
    <numFmt numFmtId="177" formatCode="0_)"/>
    <numFmt numFmtId="178" formatCode="0.000_)"/>
    <numFmt numFmtId="179" formatCode="0.00000%"/>
    <numFmt numFmtId="180" formatCode="_(&quot;$&quot;* #,##0_);_(&quot;$&quot;* \(#,##0\);_(&quot;$&quot;* &quot;-&quot;??_);_(@_)"/>
    <numFmt numFmtId="181" formatCode="_(* #,##0.000_);_(* \(#,##0.000\);_(* &quot;-&quot;??_);_(@_)"/>
    <numFmt numFmtId="182" formatCode="#,##0.0_);\(#,##0.0\)"/>
    <numFmt numFmtId="183" formatCode="0;[Red]0"/>
    <numFmt numFmtId="184" formatCode="mmm\ dd\,\ yyyy"/>
    <numFmt numFmtId="185" formatCode="#,##0.000_);\(#,##0.000\)"/>
    <numFmt numFmtId="186" formatCode="_(* #,##0.0_);_(* \(#,##0.0\);_(* &quot;-&quot;??_);_(@_)"/>
    <numFmt numFmtId="187" formatCode="mmmm\ d\,\ yyyy"/>
    <numFmt numFmtId="188" formatCode="mmm\ yyyy"/>
    <numFmt numFmtId="189" formatCode="&quot;Segment &quot;@"/>
    <numFmt numFmtId="190" formatCode="0.000000%"/>
    <numFmt numFmtId="191" formatCode="* #,##0;* \(#,##0\);* \-00"/>
    <numFmt numFmtId="192" formatCode="#."/>
    <numFmt numFmtId="193" formatCode="h:mm;@"/>
    <numFmt numFmtId="194" formatCode="0.000"/>
  </numFmts>
  <fonts count="143">
    <font>
      <sz val="11"/>
      <color theme="1"/>
      <name val="Calibri"/>
      <family val="2"/>
      <scheme val="minor"/>
    </font>
    <font>
      <sz val="11"/>
      <color theme="1"/>
      <name val="Calibri"/>
      <family val="2"/>
      <scheme val="minor"/>
    </font>
    <font>
      <b/>
      <sz val="14"/>
      <name val="Arial"/>
      <family val="2"/>
    </font>
    <font>
      <sz val="12"/>
      <name val="Arial"/>
      <family val="2"/>
    </font>
    <font>
      <sz val="10"/>
      <name val="Arial"/>
      <family val="2"/>
    </font>
    <font>
      <sz val="10"/>
      <name val="Garamond"/>
      <family val="1"/>
    </font>
    <font>
      <b/>
      <sz val="10"/>
      <color rgb="FFFF0000"/>
      <name val="Arial"/>
      <family val="2"/>
    </font>
    <font>
      <b/>
      <sz val="12"/>
      <name val="Arial"/>
      <family val="2"/>
    </font>
    <font>
      <b/>
      <sz val="12"/>
      <color rgb="FF0000FF"/>
      <name val="Arial"/>
      <family val="2"/>
    </font>
    <font>
      <sz val="10"/>
      <color rgb="FF0000FF"/>
      <name val="Arial"/>
      <family val="2"/>
    </font>
    <font>
      <b/>
      <sz val="10"/>
      <color rgb="FF0000FF"/>
      <name val="Arial"/>
      <family val="2"/>
    </font>
    <font>
      <b/>
      <sz val="10"/>
      <color rgb="FF0000FF"/>
      <name val="Garamond"/>
      <family val="1"/>
    </font>
    <font>
      <sz val="10"/>
      <color rgb="FF0000FF"/>
      <name val="Garamond"/>
      <family val="1"/>
    </font>
    <font>
      <sz val="10"/>
      <name val="Arial Narrow"/>
      <family val="2"/>
    </font>
    <font>
      <sz val="9"/>
      <name val="Arial Narrow"/>
      <family val="2"/>
    </font>
    <font>
      <b/>
      <sz val="12"/>
      <color theme="0"/>
      <name val="Arial"/>
      <family val="2"/>
    </font>
    <font>
      <b/>
      <sz val="12"/>
      <color indexed="13"/>
      <name val="Arial"/>
      <family val="2"/>
    </font>
    <font>
      <sz val="12"/>
      <color theme="0"/>
      <name val="Arial"/>
      <family val="2"/>
    </font>
    <font>
      <sz val="12"/>
      <name val="Garamond"/>
      <family val="1"/>
    </font>
    <font>
      <sz val="12"/>
      <color indexed="12"/>
      <name val="Arial"/>
      <family val="2"/>
    </font>
    <font>
      <sz val="12"/>
      <color rgb="FF0000FF"/>
      <name val="Arial"/>
      <family val="2"/>
    </font>
    <font>
      <sz val="12"/>
      <color indexed="13"/>
      <name val="Arial"/>
      <family val="2"/>
    </font>
    <font>
      <b/>
      <i/>
      <sz val="12"/>
      <color indexed="14"/>
      <name val="Arial"/>
      <family val="2"/>
    </font>
    <font>
      <b/>
      <u/>
      <sz val="12"/>
      <name val="Arial"/>
      <family val="2"/>
    </font>
    <font>
      <sz val="12"/>
      <color indexed="10"/>
      <name val="Arial"/>
      <family val="2"/>
    </font>
    <font>
      <b/>
      <sz val="12"/>
      <color indexed="12"/>
      <name val="Arial"/>
      <family val="2"/>
    </font>
    <font>
      <u/>
      <vertAlign val="superscript"/>
      <sz val="12"/>
      <name val="Arial"/>
      <family val="2"/>
    </font>
    <font>
      <vertAlign val="superscript"/>
      <sz val="12"/>
      <name val="Arial"/>
      <family val="2"/>
    </font>
    <font>
      <strike/>
      <sz val="12"/>
      <name val="Arial"/>
      <family val="2"/>
    </font>
    <font>
      <u/>
      <sz val="12"/>
      <name val="Arial"/>
      <family val="2"/>
    </font>
    <font>
      <sz val="11"/>
      <name val="Garamond"/>
      <family val="1"/>
    </font>
    <font>
      <b/>
      <sz val="12"/>
      <color indexed="10"/>
      <name val="Arial"/>
      <family val="2"/>
    </font>
    <font>
      <sz val="14"/>
      <name val="Arial"/>
      <family val="2"/>
    </font>
    <font>
      <b/>
      <sz val="12"/>
      <color rgb="FFFF0000"/>
      <name val="Arial"/>
      <family val="2"/>
    </font>
    <font>
      <sz val="12"/>
      <color indexed="43"/>
      <name val="Arial"/>
      <family val="2"/>
    </font>
    <font>
      <sz val="12"/>
      <color rgb="FFFF0000"/>
      <name val="Arial"/>
      <family val="2"/>
    </font>
    <font>
      <b/>
      <sz val="9"/>
      <color indexed="10"/>
      <name val="Arial"/>
      <family val="2"/>
    </font>
    <font>
      <b/>
      <sz val="16"/>
      <name val="Arial"/>
      <family val="2"/>
    </font>
    <font>
      <strike/>
      <sz val="14"/>
      <name val="Arial"/>
      <family val="2"/>
    </font>
    <font>
      <b/>
      <sz val="14"/>
      <color indexed="10"/>
      <name val="Arial"/>
      <family val="2"/>
    </font>
    <font>
      <sz val="16"/>
      <name val="Arial"/>
      <family val="2"/>
    </font>
    <font>
      <sz val="14"/>
      <color rgb="FF000000"/>
      <name val="Arial"/>
      <family val="2"/>
    </font>
    <font>
      <b/>
      <sz val="11"/>
      <color theme="1"/>
      <name val="Calibri"/>
      <family val="2"/>
      <scheme val="minor"/>
    </font>
    <font>
      <b/>
      <sz val="11"/>
      <name val="Arial"/>
      <family val="2"/>
    </font>
    <font>
      <sz val="10"/>
      <color rgb="FF0000FF"/>
      <name val="Calibri"/>
      <family val="2"/>
    </font>
    <font>
      <b/>
      <sz val="10"/>
      <color rgb="FF000000"/>
      <name val="Arial"/>
      <family val="2"/>
    </font>
    <font>
      <sz val="10"/>
      <color rgb="FF000000"/>
      <name val="Arial"/>
      <family val="2"/>
    </font>
    <font>
      <b/>
      <u/>
      <sz val="10"/>
      <color rgb="FF000000"/>
      <name val="Arial"/>
      <family val="2"/>
    </font>
    <font>
      <sz val="10"/>
      <name val="Times New Roman"/>
      <family val="1"/>
    </font>
    <font>
      <sz val="11"/>
      <name val="Arial"/>
      <family val="2"/>
    </font>
    <font>
      <b/>
      <i/>
      <sz val="11"/>
      <name val="Arial"/>
      <family val="2"/>
    </font>
    <font>
      <b/>
      <i/>
      <sz val="12"/>
      <name val="Arial"/>
      <family val="2"/>
    </font>
    <font>
      <b/>
      <sz val="10"/>
      <name val="Arial"/>
      <family val="2"/>
    </font>
    <font>
      <sz val="11"/>
      <color indexed="10"/>
      <name val="Arial"/>
      <family val="2"/>
    </font>
    <font>
      <sz val="11"/>
      <color rgb="FF0000FF"/>
      <name val="Arial"/>
      <family val="2"/>
    </font>
    <font>
      <b/>
      <i/>
      <sz val="10"/>
      <name val="Arial"/>
      <family val="2"/>
    </font>
    <font>
      <sz val="10"/>
      <color rgb="FF032EE3"/>
      <name val="Arial"/>
      <family val="2"/>
    </font>
    <font>
      <sz val="10"/>
      <color theme="1"/>
      <name val="Arial"/>
      <family val="2"/>
    </font>
    <font>
      <b/>
      <sz val="10"/>
      <color indexed="10"/>
      <name val="Arial"/>
      <family val="2"/>
    </font>
    <font>
      <sz val="10"/>
      <color indexed="10"/>
      <name val="Arial"/>
      <family val="2"/>
    </font>
    <font>
      <sz val="10"/>
      <color indexed="12"/>
      <name val="Arial"/>
      <family val="2"/>
    </font>
    <font>
      <b/>
      <sz val="13"/>
      <name val="Arial"/>
      <family val="2"/>
    </font>
    <font>
      <sz val="10"/>
      <color rgb="FFFF0000"/>
      <name val="Arial"/>
      <family val="2"/>
    </font>
    <font>
      <b/>
      <u/>
      <sz val="10"/>
      <name val="Arial"/>
      <family val="2"/>
    </font>
    <font>
      <i/>
      <sz val="10"/>
      <color rgb="FF0000FF"/>
      <name val="Arial"/>
      <family val="2"/>
    </font>
    <font>
      <u/>
      <sz val="10"/>
      <name val="Arial"/>
      <family val="2"/>
    </font>
    <font>
      <sz val="10"/>
      <color theme="0"/>
      <name val="Arial"/>
      <family val="2"/>
    </font>
    <font>
      <b/>
      <sz val="10"/>
      <color theme="0"/>
      <name val="Arial"/>
      <family val="2"/>
    </font>
    <font>
      <b/>
      <sz val="10"/>
      <color indexed="14"/>
      <name val="Arial"/>
      <family val="2"/>
    </font>
    <font>
      <i/>
      <sz val="10"/>
      <name val="Arial"/>
      <family val="2"/>
    </font>
    <font>
      <b/>
      <u/>
      <sz val="10"/>
      <color theme="0"/>
      <name val="Arial"/>
      <family val="2"/>
    </font>
    <font>
      <sz val="12"/>
      <name val="Arial Narrow"/>
      <family val="2"/>
    </font>
    <font>
      <sz val="10"/>
      <color indexed="14"/>
      <name val="Arial"/>
      <family val="2"/>
    </font>
    <font>
      <sz val="10"/>
      <name val="MS Sans Serif"/>
      <family val="2"/>
    </font>
    <font>
      <sz val="8"/>
      <name val="Arial"/>
      <family val="2"/>
    </font>
    <font>
      <b/>
      <u val="singleAccounting"/>
      <sz val="8"/>
      <name val="Arial"/>
      <family val="2"/>
    </font>
    <font>
      <b/>
      <i/>
      <sz val="12"/>
      <color theme="1"/>
      <name val="Arial"/>
      <family val="2"/>
    </font>
    <font>
      <b/>
      <i/>
      <sz val="14"/>
      <name val="Arial Narrow"/>
      <family val="2"/>
    </font>
    <font>
      <b/>
      <i/>
      <sz val="11"/>
      <name val="Arial Narrow"/>
      <family val="2"/>
    </font>
    <font>
      <b/>
      <sz val="9"/>
      <name val="Arial Narrow"/>
      <family val="2"/>
    </font>
    <font>
      <sz val="9"/>
      <color indexed="10"/>
      <name val="Arial Narrow"/>
      <family val="2"/>
    </font>
    <font>
      <b/>
      <sz val="9"/>
      <color rgb="FFFF0000"/>
      <name val="Arial Narrow"/>
      <family val="2"/>
    </font>
    <font>
      <sz val="9"/>
      <color rgb="FF0000FF"/>
      <name val="Arial Narrow"/>
      <family val="2"/>
    </font>
    <font>
      <sz val="9"/>
      <name val="Arial"/>
      <family val="2"/>
    </font>
    <font>
      <sz val="9"/>
      <color rgb="FF0000FF"/>
      <name val="Arial"/>
      <family val="2"/>
    </font>
    <font>
      <b/>
      <i/>
      <sz val="12"/>
      <name val="Arial Narrow"/>
      <family val="2"/>
    </font>
    <font>
      <b/>
      <sz val="10"/>
      <name val="Arial Narrow"/>
      <family val="2"/>
    </font>
    <font>
      <sz val="8"/>
      <color indexed="10"/>
      <name val="Arial"/>
      <family val="2"/>
    </font>
    <font>
      <sz val="10"/>
      <color rgb="FF0000FF"/>
      <name val="Arial Narrow"/>
      <family val="2"/>
    </font>
    <font>
      <sz val="10"/>
      <color indexed="10"/>
      <name val="Arial Narrow"/>
      <family val="2"/>
    </font>
    <font>
      <sz val="8"/>
      <color indexed="10"/>
      <name val="Arial Narrow"/>
      <family val="2"/>
    </font>
    <font>
      <b/>
      <sz val="10"/>
      <color rgb="FF0000FF"/>
      <name val="Arial Narrow"/>
      <family val="2"/>
    </font>
    <font>
      <sz val="10"/>
      <color theme="1"/>
      <name val="Arial Narrow"/>
      <family val="2"/>
    </font>
    <font>
      <sz val="10"/>
      <name val="Calibri"/>
      <family val="2"/>
    </font>
    <font>
      <strike/>
      <sz val="10"/>
      <color rgb="FFFF0000"/>
      <name val="Arial"/>
      <family val="2"/>
    </font>
    <font>
      <b/>
      <sz val="12"/>
      <color theme="1"/>
      <name val="Arial Narrow"/>
      <family val="2"/>
    </font>
    <font>
      <sz val="12"/>
      <color theme="1"/>
      <name val="Arial Narrow"/>
      <family val="2"/>
    </font>
    <font>
      <b/>
      <sz val="12"/>
      <color rgb="FFFF0000"/>
      <name val="Arial Narrow"/>
      <family val="2"/>
    </font>
    <font>
      <sz val="12"/>
      <color rgb="FF0000FF"/>
      <name val="Arial Narrow"/>
      <family val="2"/>
    </font>
    <font>
      <b/>
      <sz val="12"/>
      <color theme="1"/>
      <name val="Arial"/>
      <family val="2"/>
    </font>
    <font>
      <sz val="12"/>
      <color theme="1"/>
      <name val="Arial"/>
      <family val="2"/>
    </font>
    <font>
      <sz val="11"/>
      <color theme="1"/>
      <name val="Arial"/>
      <family val="2"/>
    </font>
    <font>
      <b/>
      <i/>
      <sz val="10"/>
      <color rgb="FFFF0000"/>
      <name val="Arial"/>
      <family val="2"/>
    </font>
    <font>
      <b/>
      <sz val="10"/>
      <color theme="1"/>
      <name val="Arial"/>
      <family val="2"/>
    </font>
    <font>
      <b/>
      <sz val="11"/>
      <color theme="1"/>
      <name val="Arial"/>
      <family val="2"/>
    </font>
    <font>
      <b/>
      <sz val="10"/>
      <color indexed="8"/>
      <name val="Arial"/>
      <family val="2"/>
    </font>
    <font>
      <sz val="10"/>
      <color theme="1"/>
      <name val="Calibri"/>
      <family val="2"/>
      <scheme val="minor"/>
    </font>
    <font>
      <i/>
      <sz val="11"/>
      <color theme="1"/>
      <name val="Arial"/>
      <family val="2"/>
    </font>
    <font>
      <b/>
      <u/>
      <sz val="12"/>
      <color theme="1"/>
      <name val="Arial"/>
      <family val="2"/>
    </font>
    <font>
      <b/>
      <sz val="11"/>
      <color theme="1"/>
      <name val="As Filed "/>
    </font>
    <font>
      <sz val="11"/>
      <color theme="1"/>
      <name val="As Filed "/>
    </font>
    <font>
      <sz val="11"/>
      <color theme="4"/>
      <name val="Arial"/>
      <family val="2"/>
    </font>
    <font>
      <b/>
      <i/>
      <sz val="10"/>
      <color indexed="20"/>
      <name val="Arial"/>
      <family val="2"/>
    </font>
    <font>
      <i/>
      <sz val="10"/>
      <color indexed="10"/>
      <name val="Arial"/>
      <family val="2"/>
    </font>
    <font>
      <sz val="10"/>
      <color indexed="8"/>
      <name val="Arial"/>
      <family val="2"/>
    </font>
    <font>
      <sz val="10"/>
      <color rgb="FFFF00FF"/>
      <name val="Arial"/>
      <family val="2"/>
    </font>
    <font>
      <b/>
      <sz val="10"/>
      <color indexed="12"/>
      <name val="Arial"/>
      <family val="2"/>
    </font>
    <font>
      <b/>
      <sz val="10"/>
      <name val="Times New Roman"/>
      <family val="1"/>
    </font>
    <font>
      <b/>
      <sz val="10"/>
      <color indexed="12"/>
      <name val="Times New Roman"/>
      <family val="1"/>
    </font>
    <font>
      <sz val="10"/>
      <color indexed="8"/>
      <name val="Times New Roman"/>
      <family val="1"/>
    </font>
    <font>
      <sz val="18"/>
      <color rgb="FFFF0000"/>
      <name val="Calibri"/>
      <family val="2"/>
      <scheme val="minor"/>
    </font>
    <font>
      <b/>
      <sz val="11"/>
      <color rgb="FF0000FF"/>
      <name val="Arial"/>
      <family val="2"/>
    </font>
    <font>
      <sz val="11"/>
      <name val="Calibri"/>
      <family val="2"/>
      <scheme val="minor"/>
    </font>
    <font>
      <b/>
      <sz val="11"/>
      <color indexed="12"/>
      <name val="Arial"/>
      <family val="2"/>
    </font>
    <font>
      <b/>
      <sz val="8"/>
      <color theme="0" tint="-0.499984740745262"/>
      <name val="Arial"/>
      <family val="2"/>
    </font>
    <font>
      <sz val="9"/>
      <color theme="0" tint="-0.499984740745262"/>
      <name val="Arial"/>
      <family val="2"/>
    </font>
    <font>
      <sz val="8"/>
      <color theme="0" tint="-0.499984740745262"/>
      <name val="Arial"/>
      <family val="2"/>
    </font>
    <font>
      <b/>
      <sz val="9"/>
      <color indexed="81"/>
      <name val="Tahoma"/>
      <family val="2"/>
    </font>
    <font>
      <sz val="9"/>
      <color indexed="81"/>
      <name val="Tahoma"/>
      <family val="2"/>
    </font>
    <font>
      <b/>
      <sz val="10"/>
      <color indexed="53"/>
      <name val="Arial"/>
      <family val="2"/>
    </font>
    <font>
      <b/>
      <sz val="10"/>
      <color rgb="FFFF0000"/>
      <name val="MS Sans Serif"/>
      <family val="2"/>
    </font>
    <font>
      <b/>
      <sz val="11"/>
      <color rgb="FF000000"/>
      <name val="Calibri"/>
      <family val="2"/>
    </font>
    <font>
      <sz val="11"/>
      <color rgb="FF0000FF"/>
      <name val="Calibri"/>
      <family val="2"/>
    </font>
    <font>
      <sz val="11"/>
      <name val="Calibri"/>
      <family val="2"/>
    </font>
    <font>
      <sz val="10"/>
      <color rgb="FF0070C0"/>
      <name val="Arial"/>
      <family val="2"/>
    </font>
    <font>
      <sz val="8"/>
      <name val="Calibri"/>
      <family val="2"/>
      <scheme val="minor"/>
    </font>
    <font>
      <b/>
      <sz val="11"/>
      <color rgb="FFFF0000"/>
      <name val="Arial"/>
      <family val="2"/>
    </font>
    <font>
      <b/>
      <sz val="8"/>
      <color rgb="FFFF0000"/>
      <name val="Arial"/>
      <family val="2"/>
    </font>
    <font>
      <sz val="12"/>
      <color theme="1"/>
      <name val="Times New Roman"/>
      <family val="1"/>
    </font>
    <font>
      <sz val="7"/>
      <color theme="1"/>
      <name val="Times New Roman"/>
      <family val="1"/>
    </font>
    <font>
      <sz val="7"/>
      <color rgb="FF000000"/>
      <name val="Times New Roman"/>
      <family val="1"/>
    </font>
    <font>
      <sz val="12"/>
      <color rgb="FF000000"/>
      <name val="Times New Roman"/>
      <family val="1"/>
    </font>
    <font>
      <i/>
      <sz val="12"/>
      <color theme="1"/>
      <name val="Times New Roman"/>
      <family val="1"/>
    </font>
  </fonts>
  <fills count="17">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indexed="8"/>
        <bgColor indexed="64"/>
      </patternFill>
    </fill>
    <fill>
      <patternFill patternType="solid">
        <fgColor theme="4" tint="0.79998168889431442"/>
        <bgColor indexed="64"/>
      </patternFill>
    </fill>
    <fill>
      <patternFill patternType="solid">
        <fgColor theme="0"/>
        <bgColor indexed="64"/>
      </patternFill>
    </fill>
    <fill>
      <patternFill patternType="solid">
        <fgColor indexed="9"/>
        <bgColor indexed="64"/>
      </patternFill>
    </fill>
    <fill>
      <patternFill patternType="solid">
        <fgColor theme="1"/>
        <bgColor indexed="64"/>
      </patternFill>
    </fill>
    <fill>
      <patternFill patternType="solid">
        <fgColor theme="1" tint="0.499984740745262"/>
        <bgColor indexed="64"/>
      </patternFill>
    </fill>
    <fill>
      <patternFill patternType="solid">
        <fgColor theme="4" tint="0.59999389629810485"/>
        <bgColor indexed="64"/>
      </patternFill>
    </fill>
    <fill>
      <patternFill patternType="solid">
        <fgColor indexed="31"/>
        <bgColor indexed="64"/>
      </patternFill>
    </fill>
    <fill>
      <patternFill patternType="solid">
        <fgColor indexed="40"/>
      </patternFill>
    </fill>
    <fill>
      <patternFill patternType="solid">
        <fgColor theme="0" tint="-0.499984740745262"/>
        <bgColor indexed="64"/>
      </patternFill>
    </fill>
    <fill>
      <patternFill patternType="solid">
        <fgColor rgb="FFC0C0C0"/>
        <bgColor rgb="FFC0C0C0"/>
      </patternFill>
    </fill>
    <fill>
      <patternFill patternType="solid">
        <fgColor rgb="FFCEC8E6"/>
        <bgColor indexed="64"/>
      </patternFill>
    </fill>
    <fill>
      <patternFill patternType="solid">
        <fgColor theme="5" tint="0.79998168889431442"/>
        <bgColor indexed="64"/>
      </patternFill>
    </fill>
  </fills>
  <borders count="91">
    <border>
      <left/>
      <right/>
      <top/>
      <bottom/>
      <diagonal/>
    </border>
    <border>
      <left/>
      <right/>
      <top/>
      <bottom style="medium">
        <color auto="1"/>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indexed="64"/>
      </top>
      <bottom/>
      <diagonal/>
    </border>
    <border>
      <left/>
      <right/>
      <top style="thin">
        <color indexed="64"/>
      </top>
      <bottom style="double">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3"/>
      </left>
      <right style="thin">
        <color indexed="63"/>
      </right>
      <top style="thin">
        <color indexed="63"/>
      </top>
      <bottom style="thin">
        <color indexed="63"/>
      </bottom>
      <diagonal/>
    </border>
    <border>
      <left style="thin">
        <color indexed="64"/>
      </left>
      <right style="medium">
        <color indexed="64"/>
      </right>
      <top/>
      <bottom style="thin">
        <color indexed="64"/>
      </bottom>
      <diagonal/>
    </border>
    <border>
      <left style="medium">
        <color indexed="64"/>
      </left>
      <right style="thin">
        <color indexed="64"/>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right/>
      <top style="thin">
        <color auto="1"/>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48"/>
      </left>
      <right style="thin">
        <color indexed="48"/>
      </right>
      <top style="thin">
        <color indexed="48"/>
      </top>
      <bottom style="thin">
        <color indexed="48"/>
      </bottom>
      <diagonal/>
    </border>
    <border>
      <left/>
      <right style="thin">
        <color indexed="64"/>
      </right>
      <top/>
      <bottom style="medium">
        <color indexed="64"/>
      </bottom>
      <diagonal/>
    </border>
    <border>
      <left style="medium">
        <color indexed="64"/>
      </left>
      <right style="thin">
        <color indexed="64"/>
      </right>
      <top/>
      <bottom style="thin">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thin">
        <color indexed="64"/>
      </top>
      <bottom style="thin">
        <color indexed="64"/>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medium">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auto="1"/>
      </top>
      <bottom style="hair">
        <color auto="1"/>
      </bottom>
      <diagonal/>
    </border>
    <border>
      <left/>
      <right/>
      <top style="hair">
        <color auto="1"/>
      </top>
      <bottom style="hair">
        <color auto="1"/>
      </bottom>
      <diagonal/>
    </border>
    <border>
      <left/>
      <right/>
      <top style="hair">
        <color auto="1"/>
      </top>
      <bottom style="thin">
        <color auto="1"/>
      </bottom>
      <diagonal/>
    </border>
    <border>
      <left/>
      <right/>
      <top style="hair">
        <color auto="1"/>
      </top>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top style="thin">
        <color auto="1"/>
      </top>
      <bottom style="hair">
        <color auto="1"/>
      </bottom>
      <diagonal/>
    </border>
    <border>
      <left/>
      <right style="medium">
        <color rgb="FF000000"/>
      </right>
      <top style="medium">
        <color indexed="64"/>
      </top>
      <bottom style="medium">
        <color indexed="64"/>
      </bottom>
      <diagonal/>
    </border>
    <border>
      <left style="medium">
        <color indexed="64"/>
      </left>
      <right/>
      <top style="thin">
        <color auto="1"/>
      </top>
      <bottom/>
      <diagonal/>
    </border>
    <border>
      <left style="medium">
        <color indexed="64"/>
      </left>
      <right/>
      <top style="thin">
        <color auto="1"/>
      </top>
      <bottom style="medium">
        <color indexed="64"/>
      </bottom>
      <diagonal/>
    </border>
    <border>
      <left style="medium">
        <color indexed="64"/>
      </left>
      <right style="thin">
        <color auto="1"/>
      </right>
      <top style="thin">
        <color auto="1"/>
      </top>
      <bottom style="medium">
        <color indexed="64"/>
      </bottom>
      <diagonal/>
    </border>
  </borders>
  <cellStyleXfs count="50">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xf numFmtId="43" fontId="4" fillId="0" borderId="0" applyFont="0" applyFill="0" applyBorder="0" applyAlignment="0" applyProtection="0"/>
    <xf numFmtId="172" fontId="3" fillId="0" borderId="0"/>
    <xf numFmtId="44" fontId="48" fillId="0" borderId="0" applyFont="0" applyFill="0" applyBorder="0" applyAlignment="0" applyProtection="0"/>
    <xf numFmtId="0" fontId="4" fillId="0" borderId="0"/>
    <xf numFmtId="0" fontId="4" fillId="0" borderId="0"/>
    <xf numFmtId="0" fontId="4" fillId="0" borderId="0"/>
    <xf numFmtId="0" fontId="1" fillId="0" borderId="0"/>
    <xf numFmtId="0" fontId="73" fillId="0" borderId="0"/>
    <xf numFmtId="43" fontId="4" fillId="0" borderId="0" applyNumberFormat="0" applyFill="0" applyBorder="0" applyAlignment="0" applyProtection="0"/>
    <xf numFmtId="0" fontId="1" fillId="0" borderId="0"/>
    <xf numFmtId="44" fontId="4" fillId="0" borderId="0" applyFont="0" applyFill="0" applyBorder="0" applyAlignment="0" applyProtection="0"/>
    <xf numFmtId="0" fontId="4" fillId="0" borderId="0"/>
    <xf numFmtId="0" fontId="4" fillId="0" borderId="0"/>
    <xf numFmtId="0" fontId="4"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4" fillId="11" borderId="59" applyNumberFormat="0" applyProtection="0">
      <alignment horizontal="left" vertical="center" indent="1"/>
    </xf>
    <xf numFmtId="0" fontId="4" fillId="11" borderId="59" applyNumberFormat="0" applyProtection="0">
      <alignment horizontal="left" vertical="center" indent="1"/>
    </xf>
    <xf numFmtId="0" fontId="4" fillId="11" borderId="59" applyNumberFormat="0" applyProtection="0">
      <alignment horizontal="left" vertical="center" indent="1"/>
    </xf>
    <xf numFmtId="0" fontId="1" fillId="0" borderId="0"/>
    <xf numFmtId="0" fontId="4" fillId="11" borderId="59" applyNumberFormat="0" applyProtection="0">
      <alignment horizontal="left" vertical="center" indent="1"/>
    </xf>
    <xf numFmtId="0" fontId="1" fillId="0" borderId="0"/>
    <xf numFmtId="0" fontId="4" fillId="11" borderId="59" applyNumberFormat="0" applyProtection="0">
      <alignment horizontal="left" vertical="center" indent="1"/>
    </xf>
    <xf numFmtId="0" fontId="4" fillId="11" borderId="59" applyNumberFormat="0" applyProtection="0">
      <alignment horizontal="left" vertical="center" indent="1"/>
    </xf>
    <xf numFmtId="0" fontId="1" fillId="0" borderId="0"/>
    <xf numFmtId="0" fontId="1" fillId="0" borderId="0"/>
    <xf numFmtId="0" fontId="1" fillId="0" borderId="0"/>
    <xf numFmtId="43" fontId="1" fillId="0" borderId="0" applyFont="0" applyFill="0" applyBorder="0" applyAlignment="0" applyProtection="0"/>
    <xf numFmtId="0" fontId="1" fillId="0" borderId="0"/>
    <xf numFmtId="4" fontId="114" fillId="12" borderId="69" applyNumberFormat="0" applyProtection="0">
      <alignment horizontal="left" vertical="center" indent="1"/>
    </xf>
    <xf numFmtId="43" fontId="1" fillId="0" borderId="0" applyFont="0" applyFill="0" applyBorder="0" applyAlignment="0" applyProtection="0"/>
    <xf numFmtId="0" fontId="1" fillId="0" borderId="0"/>
    <xf numFmtId="44" fontId="4" fillId="0" borderId="0" applyFont="0" applyFill="0" applyBorder="0" applyAlignment="0" applyProtection="0"/>
    <xf numFmtId="0" fontId="4" fillId="0" borderId="0"/>
    <xf numFmtId="43" fontId="1" fillId="0" borderId="0" applyFont="0" applyFill="0" applyBorder="0" applyAlignment="0" applyProtection="0"/>
    <xf numFmtId="43" fontId="4" fillId="0" borderId="0" applyFont="0" applyFill="0" applyBorder="0" applyAlignment="0" applyProtection="0"/>
    <xf numFmtId="0" fontId="101" fillId="0" borderId="0"/>
    <xf numFmtId="43" fontId="101" fillId="0" borderId="0" applyFont="0" applyFill="0" applyBorder="0" applyAlignment="0" applyProtection="0"/>
    <xf numFmtId="0" fontId="1" fillId="0" borderId="0"/>
    <xf numFmtId="9" fontId="1" fillId="0" borderId="0" applyFont="0" applyFill="0" applyBorder="0" applyAlignment="0" applyProtection="0"/>
    <xf numFmtId="0" fontId="101" fillId="0" borderId="0"/>
    <xf numFmtId="43" fontId="1" fillId="0" borderId="0" applyFont="0" applyFill="0" applyBorder="0" applyAlignment="0" applyProtection="0"/>
  </cellStyleXfs>
  <cellXfs count="2010">
    <xf numFmtId="0" fontId="0" fillId="0" borderId="0" xfId="0"/>
    <xf numFmtId="0" fontId="2" fillId="0" borderId="0" xfId="0" applyFont="1" applyAlignment="1">
      <alignment horizontal="centerContinuous"/>
    </xf>
    <xf numFmtId="0" fontId="3" fillId="0" borderId="0" xfId="0" applyFont="1"/>
    <xf numFmtId="164" fontId="2" fillId="0" borderId="0" xfId="1" applyNumberFormat="1" applyFont="1" applyAlignment="1">
      <alignment horizontal="centerContinuous"/>
    </xf>
    <xf numFmtId="0" fontId="5" fillId="0" borderId="0" xfId="0" applyFont="1"/>
    <xf numFmtId="0" fontId="6" fillId="0" borderId="0" xfId="0" applyFont="1" applyAlignment="1">
      <alignment horizontal="left"/>
    </xf>
    <xf numFmtId="0" fontId="6" fillId="0" borderId="1" xfId="0" applyFont="1" applyBorder="1" applyAlignment="1">
      <alignment vertical="center"/>
    </xf>
    <xf numFmtId="0" fontId="7" fillId="0" borderId="1" xfId="0" applyFont="1" applyBorder="1" applyAlignment="1">
      <alignment horizontal="center" vertical="center"/>
    </xf>
    <xf numFmtId="0" fontId="6" fillId="0" borderId="0" xfId="0" applyFont="1" applyAlignment="1">
      <alignment vertical="center"/>
    </xf>
    <xf numFmtId="0" fontId="8" fillId="0" borderId="1" xfId="0" applyFont="1" applyBorder="1" applyAlignment="1">
      <alignment horizontal="center" vertical="center"/>
    </xf>
    <xf numFmtId="164" fontId="6" fillId="0" borderId="0" xfId="1" applyNumberFormat="1" applyFont="1" applyFill="1" applyBorder="1" applyAlignment="1">
      <alignment vertical="center"/>
    </xf>
    <xf numFmtId="0" fontId="4" fillId="0" borderId="2" xfId="0" applyFont="1" applyBorder="1"/>
    <xf numFmtId="165" fontId="9" fillId="3" borderId="6" xfId="0" applyNumberFormat="1" applyFont="1" applyFill="1" applyBorder="1" applyAlignment="1">
      <alignment horizontal="center" vertical="center" wrapText="1"/>
    </xf>
    <xf numFmtId="0" fontId="10" fillId="0" borderId="0" xfId="0" applyFont="1" applyAlignment="1">
      <alignment horizontal="center" vertical="center" wrapText="1"/>
    </xf>
    <xf numFmtId="165" fontId="9" fillId="3" borderId="7" xfId="0" applyNumberFormat="1"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3" borderId="9" xfId="0" applyFont="1" applyFill="1" applyBorder="1" applyAlignment="1">
      <alignment horizontal="center" vertical="center" wrapText="1"/>
    </xf>
    <xf numFmtId="0" fontId="7" fillId="0" borderId="0" xfId="0" applyFont="1"/>
    <xf numFmtId="164" fontId="10" fillId="0" borderId="0" xfId="1" applyNumberFormat="1" applyFont="1" applyFill="1" applyBorder="1" applyAlignment="1">
      <alignment horizontal="center" vertical="center" wrapText="1"/>
    </xf>
    <xf numFmtId="0" fontId="9" fillId="0" borderId="10" xfId="0" applyFont="1" applyBorder="1" applyAlignment="1">
      <alignment horizontal="left"/>
    </xf>
    <xf numFmtId="0" fontId="9" fillId="3" borderId="14" xfId="0" applyFont="1" applyFill="1" applyBorder="1" applyAlignment="1">
      <alignment horizontal="center" wrapText="1"/>
    </xf>
    <xf numFmtId="0" fontId="13" fillId="0" borderId="15" xfId="0" applyFont="1" applyBorder="1" applyAlignment="1">
      <alignment horizontal="center"/>
    </xf>
    <xf numFmtId="0" fontId="14" fillId="0" borderId="16" xfId="0" applyFont="1" applyBorder="1" applyAlignment="1">
      <alignment horizontal="center"/>
    </xf>
    <xf numFmtId="0" fontId="13" fillId="0" borderId="17" xfId="0" applyFont="1" applyBorder="1" applyAlignment="1">
      <alignment horizontal="center"/>
    </xf>
    <xf numFmtId="164" fontId="0" fillId="0" borderId="0" xfId="1" applyNumberFormat="1" applyFont="1" applyFill="1"/>
    <xf numFmtId="0" fontId="9" fillId="0" borderId="14" xfId="0" applyFont="1" applyBorder="1" applyAlignment="1">
      <alignment horizontal="left"/>
    </xf>
    <xf numFmtId="164" fontId="0" fillId="0" borderId="0" xfId="1" applyNumberFormat="1" applyFont="1"/>
    <xf numFmtId="0" fontId="15" fillId="4" borderId="0" xfId="0" applyFont="1" applyFill="1" applyAlignment="1">
      <alignment horizontal="left"/>
    </xf>
    <xf numFmtId="0" fontId="16" fillId="4" borderId="0" xfId="0" applyFont="1" applyFill="1"/>
    <xf numFmtId="0" fontId="3" fillId="4" borderId="0" xfId="0" applyFont="1" applyFill="1"/>
    <xf numFmtId="0" fontId="15" fillId="4" borderId="0" xfId="0" applyFont="1" applyFill="1" applyAlignment="1">
      <alignment horizontal="center"/>
    </xf>
    <xf numFmtId="0" fontId="17" fillId="4" borderId="0" xfId="0" applyFont="1" applyFill="1"/>
    <xf numFmtId="0" fontId="15" fillId="4" borderId="0" xfId="0" applyFont="1" applyFill="1" applyAlignment="1">
      <alignment horizontal="center" wrapText="1"/>
    </xf>
    <xf numFmtId="0" fontId="18" fillId="0" borderId="0" xfId="0" applyFont="1"/>
    <xf numFmtId="0" fontId="3" fillId="0" borderId="0" xfId="0" applyFont="1" applyAlignment="1">
      <alignment horizontal="left"/>
    </xf>
    <xf numFmtId="0" fontId="7" fillId="0" borderId="0" xfId="0" applyFont="1" applyAlignment="1">
      <alignment horizontal="center"/>
    </xf>
    <xf numFmtId="0" fontId="3" fillId="0" borderId="0" xfId="0" applyFont="1" applyAlignment="1">
      <alignment horizontal="center" wrapText="1"/>
    </xf>
    <xf numFmtId="3" fontId="3" fillId="0" borderId="0" xfId="0" applyNumberFormat="1" applyFont="1" applyAlignment="1">
      <alignment horizontal="center"/>
    </xf>
    <xf numFmtId="3" fontId="3" fillId="0" borderId="0" xfId="0" applyNumberFormat="1" applyFont="1"/>
    <xf numFmtId="0" fontId="3" fillId="0" borderId="0" xfId="0" applyFont="1" applyAlignment="1">
      <alignment horizontal="center"/>
    </xf>
    <xf numFmtId="0" fontId="19" fillId="0" borderId="0" xfId="0" applyFont="1" applyAlignment="1">
      <alignment horizontal="left"/>
    </xf>
    <xf numFmtId="37" fontId="3" fillId="5" borderId="0" xfId="0" applyNumberFormat="1" applyFont="1" applyFill="1"/>
    <xf numFmtId="166" fontId="0" fillId="0" borderId="0" xfId="3" applyNumberFormat="1" applyFont="1"/>
    <xf numFmtId="37" fontId="20" fillId="3" borderId="0" xfId="0" applyNumberFormat="1" applyFont="1" applyFill="1"/>
    <xf numFmtId="10" fontId="3" fillId="5" borderId="0" xfId="3" applyNumberFormat="1" applyFont="1" applyFill="1" applyAlignment="1">
      <alignment horizontal="center"/>
    </xf>
    <xf numFmtId="37" fontId="3" fillId="0" borderId="0" xfId="0" applyNumberFormat="1" applyFont="1"/>
    <xf numFmtId="166" fontId="0" fillId="0" borderId="0" xfId="0" applyNumberFormat="1"/>
    <xf numFmtId="0" fontId="3" fillId="0" borderId="18" xfId="0" applyFont="1" applyBorder="1"/>
    <xf numFmtId="3" fontId="3" fillId="0" borderId="18" xfId="0" applyNumberFormat="1" applyFont="1" applyBorder="1"/>
    <xf numFmtId="3" fontId="3" fillId="0" borderId="18" xfId="0" applyNumberFormat="1" applyFont="1" applyBorder="1" applyAlignment="1">
      <alignment horizontal="center"/>
    </xf>
    <xf numFmtId="37" fontId="3" fillId="0" borderId="18" xfId="0" applyNumberFormat="1" applyFont="1" applyBorder="1"/>
    <xf numFmtId="37" fontId="3" fillId="5" borderId="18" xfId="0" applyNumberFormat="1" applyFont="1" applyFill="1" applyBorder="1"/>
    <xf numFmtId="10" fontId="3" fillId="5" borderId="18" xfId="3" applyNumberFormat="1" applyFont="1" applyFill="1" applyBorder="1" applyAlignment="1">
      <alignment horizontal="center"/>
    </xf>
    <xf numFmtId="0" fontId="7" fillId="0" borderId="19" xfId="0" applyFont="1" applyBorder="1"/>
    <xf numFmtId="0" fontId="3" fillId="0" borderId="19" xfId="0" applyFont="1" applyBorder="1"/>
    <xf numFmtId="3" fontId="3" fillId="0" borderId="19" xfId="0" applyNumberFormat="1" applyFont="1" applyBorder="1" applyAlignment="1">
      <alignment horizontal="center"/>
    </xf>
    <xf numFmtId="3" fontId="3" fillId="0" borderId="19" xfId="0" applyNumberFormat="1" applyFont="1" applyBorder="1"/>
    <xf numFmtId="167" fontId="7" fillId="0" borderId="19" xfId="3" applyNumberFormat="1" applyFont="1" applyFill="1" applyBorder="1" applyAlignment="1"/>
    <xf numFmtId="167" fontId="7" fillId="5" borderId="19" xfId="3" applyNumberFormat="1" applyFont="1" applyFill="1" applyBorder="1" applyAlignment="1"/>
    <xf numFmtId="10" fontId="3" fillId="5" borderId="19" xfId="3" applyNumberFormat="1" applyFont="1" applyFill="1" applyBorder="1" applyAlignment="1">
      <alignment horizontal="center"/>
    </xf>
    <xf numFmtId="167" fontId="7" fillId="0" borderId="0" xfId="3" applyNumberFormat="1" applyFont="1" applyFill="1" applyAlignment="1"/>
    <xf numFmtId="0" fontId="19" fillId="0" borderId="0" xfId="0" applyFont="1" applyAlignment="1">
      <alignment horizontal="center"/>
    </xf>
    <xf numFmtId="0" fontId="3" fillId="0" borderId="18" xfId="0" applyFont="1" applyBorder="1" applyAlignment="1">
      <alignment horizontal="center"/>
    </xf>
    <xf numFmtId="3" fontId="3" fillId="0" borderId="20" xfId="0" applyNumberFormat="1" applyFont="1" applyBorder="1"/>
    <xf numFmtId="37" fontId="3" fillId="5" borderId="20" xfId="0" applyNumberFormat="1" applyFont="1" applyFill="1" applyBorder="1"/>
    <xf numFmtId="10" fontId="3" fillId="5" borderId="20" xfId="3" applyNumberFormat="1" applyFont="1" applyFill="1" applyBorder="1" applyAlignment="1">
      <alignment horizontal="center"/>
    </xf>
    <xf numFmtId="0" fontId="3" fillId="0" borderId="19" xfId="0" applyFont="1" applyBorder="1" applyAlignment="1">
      <alignment horizontal="center"/>
    </xf>
    <xf numFmtId="0" fontId="7" fillId="4" borderId="0" xfId="0" applyFont="1" applyFill="1" applyAlignment="1">
      <alignment horizontal="center"/>
    </xf>
    <xf numFmtId="0" fontId="3" fillId="4" borderId="0" xfId="0" applyFont="1" applyFill="1" applyAlignment="1">
      <alignment horizontal="center" wrapText="1"/>
    </xf>
    <xf numFmtId="0" fontId="21" fillId="0" borderId="0" xfId="0" applyFont="1" applyAlignment="1">
      <alignment horizontal="center"/>
    </xf>
    <xf numFmtId="0" fontId="16" fillId="0" borderId="0" xfId="0" applyFont="1"/>
    <xf numFmtId="0" fontId="3" fillId="0" borderId="20" xfId="0" applyFont="1" applyBorder="1"/>
    <xf numFmtId="0" fontId="19" fillId="0" borderId="20" xfId="0" applyFont="1" applyBorder="1" applyAlignment="1">
      <alignment horizontal="center"/>
    </xf>
    <xf numFmtId="0" fontId="3" fillId="0" borderId="20" xfId="0" applyFont="1" applyBorder="1" applyAlignment="1">
      <alignment horizontal="left"/>
    </xf>
    <xf numFmtId="37" fontId="3" fillId="0" borderId="20" xfId="0" applyNumberFormat="1" applyFont="1" applyBorder="1"/>
    <xf numFmtId="37" fontId="20" fillId="3" borderId="20" xfId="0" applyNumberFormat="1" applyFont="1" applyFill="1" applyBorder="1"/>
    <xf numFmtId="37" fontId="7" fillId="0" borderId="0" xfId="0" applyNumberFormat="1" applyFont="1"/>
    <xf numFmtId="38" fontId="3" fillId="0" borderId="0" xfId="0" applyNumberFormat="1" applyFont="1" applyAlignment="1">
      <alignment horizontal="center"/>
    </xf>
    <xf numFmtId="0" fontId="7" fillId="0" borderId="0" xfId="0" applyFont="1" applyAlignment="1">
      <alignment horizontal="right"/>
    </xf>
    <xf numFmtId="167" fontId="3" fillId="0" borderId="0" xfId="3" applyNumberFormat="1" applyFont="1" applyFill="1" applyAlignment="1"/>
    <xf numFmtId="0" fontId="3" fillId="0" borderId="20" xfId="0" applyFont="1" applyBorder="1" applyAlignment="1">
      <alignment horizontal="center"/>
    </xf>
    <xf numFmtId="0" fontId="7" fillId="0" borderId="18" xfId="0" applyFont="1" applyBorder="1"/>
    <xf numFmtId="0" fontId="19" fillId="0" borderId="18" xfId="0" applyFont="1" applyBorder="1"/>
    <xf numFmtId="37" fontId="7" fillId="0" borderId="18" xfId="0" applyNumberFormat="1" applyFont="1" applyBorder="1"/>
    <xf numFmtId="37" fontId="8" fillId="3" borderId="18" xfId="0" applyNumberFormat="1" applyFont="1" applyFill="1" applyBorder="1"/>
    <xf numFmtId="0" fontId="7" fillId="0" borderId="19" xfId="0" applyFont="1" applyBorder="1" applyAlignment="1">
      <alignment horizontal="center"/>
    </xf>
    <xf numFmtId="37" fontId="7" fillId="0" borderId="19" xfId="0" applyNumberFormat="1" applyFont="1" applyBorder="1"/>
    <xf numFmtId="37" fontId="3" fillId="5" borderId="19" xfId="0" applyNumberFormat="1" applyFont="1" applyFill="1" applyBorder="1"/>
    <xf numFmtId="168" fontId="3" fillId="0" borderId="0" xfId="0" applyNumberFormat="1" applyFont="1" applyAlignment="1">
      <alignment horizontal="center"/>
    </xf>
    <xf numFmtId="37" fontId="8" fillId="3" borderId="0" xfId="0" applyNumberFormat="1" applyFont="1" applyFill="1"/>
    <xf numFmtId="0" fontId="3" fillId="6" borderId="0" xfId="0" applyFont="1" applyFill="1" applyAlignment="1">
      <alignment horizontal="center"/>
    </xf>
    <xf numFmtId="167" fontId="3" fillId="0" borderId="0" xfId="3" applyNumberFormat="1" applyFont="1" applyFill="1" applyBorder="1" applyAlignment="1"/>
    <xf numFmtId="37" fontId="3" fillId="0" borderId="0" xfId="0" applyNumberFormat="1" applyFont="1" applyAlignment="1">
      <alignment horizontal="center"/>
    </xf>
    <xf numFmtId="0" fontId="3" fillId="0" borderId="19" xfId="0" applyFont="1" applyBorder="1" applyAlignment="1">
      <alignment horizontal="left"/>
    </xf>
    <xf numFmtId="0" fontId="7" fillId="0" borderId="19" xfId="0" applyFont="1" applyBorder="1" applyAlignment="1">
      <alignment horizontal="left"/>
    </xf>
    <xf numFmtId="0" fontId="22" fillId="0" borderId="0" xfId="0" applyFont="1" applyAlignment="1">
      <alignment horizontal="left"/>
    </xf>
    <xf numFmtId="0" fontId="22" fillId="0" borderId="0" xfId="0" applyFont="1"/>
    <xf numFmtId="0" fontId="7" fillId="0" borderId="0" xfId="0" applyFont="1" applyAlignment="1">
      <alignment horizontal="left"/>
    </xf>
    <xf numFmtId="0" fontId="3" fillId="0" borderId="0" xfId="0" applyFont="1" applyAlignment="1">
      <alignment horizontal="right"/>
    </xf>
    <xf numFmtId="37" fontId="3" fillId="0" borderId="0" xfId="0" applyNumberFormat="1" applyFont="1" applyAlignment="1">
      <alignment horizontal="right"/>
    </xf>
    <xf numFmtId="0" fontId="4" fillId="0" borderId="0" xfId="0" applyFont="1"/>
    <xf numFmtId="4" fontId="19" fillId="0" borderId="0" xfId="0" applyNumberFormat="1" applyFont="1" applyAlignment="1">
      <alignment horizontal="right"/>
    </xf>
    <xf numFmtId="3" fontId="19" fillId="0" borderId="0" xfId="0" applyNumberFormat="1" applyFont="1" applyAlignment="1">
      <alignment horizontal="right"/>
    </xf>
    <xf numFmtId="0" fontId="23" fillId="0" borderId="0" xfId="0" applyFont="1" applyAlignment="1">
      <alignment horizontal="left"/>
    </xf>
    <xf numFmtId="37" fontId="7" fillId="0" borderId="0" xfId="0" applyNumberFormat="1" applyFont="1" applyAlignment="1">
      <alignment horizontal="right"/>
    </xf>
    <xf numFmtId="37" fontId="8" fillId="3" borderId="0" xfId="0" applyNumberFormat="1" applyFont="1" applyFill="1" applyAlignment="1">
      <alignment horizontal="right"/>
    </xf>
    <xf numFmtId="37" fontId="20" fillId="3" borderId="0" xfId="1" applyNumberFormat="1" applyFont="1" applyFill="1" applyBorder="1" applyAlignment="1"/>
    <xf numFmtId="0" fontId="24" fillId="0" borderId="0" xfId="0" applyFont="1" applyAlignment="1">
      <alignment horizontal="center"/>
    </xf>
    <xf numFmtId="3" fontId="19" fillId="0" borderId="20" xfId="0" applyNumberFormat="1" applyFont="1" applyBorder="1" applyAlignment="1">
      <alignment horizontal="right"/>
    </xf>
    <xf numFmtId="167" fontId="3" fillId="0" borderId="0" xfId="0" applyNumberFormat="1" applyFont="1" applyAlignment="1">
      <alignment horizontal="right"/>
    </xf>
    <xf numFmtId="37" fontId="3" fillId="0" borderId="18" xfId="0" applyNumberFormat="1" applyFont="1" applyBorder="1" applyAlignment="1">
      <alignment horizontal="right"/>
    </xf>
    <xf numFmtId="37" fontId="20" fillId="3" borderId="0" xfId="0" applyNumberFormat="1" applyFont="1" applyFill="1" applyAlignment="1">
      <alignment horizontal="right"/>
    </xf>
    <xf numFmtId="0" fontId="3" fillId="0" borderId="18" xfId="0" applyFont="1" applyBorder="1" applyAlignment="1">
      <alignment horizontal="left"/>
    </xf>
    <xf numFmtId="0" fontId="7" fillId="0" borderId="18" xfId="0" applyFont="1" applyBorder="1" applyAlignment="1">
      <alignment horizontal="center"/>
    </xf>
    <xf numFmtId="3" fontId="25" fillId="0" borderId="18" xfId="0" applyNumberFormat="1" applyFont="1" applyBorder="1" applyAlignment="1">
      <alignment horizontal="right"/>
    </xf>
    <xf numFmtId="0" fontId="3" fillId="3" borderId="20" xfId="0" applyFont="1" applyFill="1" applyBorder="1" applyAlignment="1">
      <alignment horizontal="left"/>
    </xf>
    <xf numFmtId="166" fontId="3" fillId="3" borderId="0" xfId="3" applyNumberFormat="1" applyFont="1" applyFill="1" applyAlignment="1">
      <alignment horizontal="right"/>
    </xf>
    <xf numFmtId="166" fontId="20" fillId="3" borderId="0" xfId="3" applyNumberFormat="1" applyFont="1" applyFill="1" applyAlignment="1">
      <alignment horizontal="right"/>
    </xf>
    <xf numFmtId="166" fontId="3" fillId="0" borderId="0" xfId="3" applyNumberFormat="1" applyFont="1" applyFill="1" applyAlignment="1">
      <alignment horizontal="right"/>
    </xf>
    <xf numFmtId="0" fontId="7" fillId="0" borderId="18" xfId="0" applyFont="1" applyBorder="1" applyAlignment="1">
      <alignment horizontal="left"/>
    </xf>
    <xf numFmtId="37" fontId="7" fillId="0" borderId="18" xfId="0" applyNumberFormat="1" applyFont="1" applyBorder="1" applyAlignment="1">
      <alignment horizontal="right"/>
    </xf>
    <xf numFmtId="0" fontId="7" fillId="7" borderId="0" xfId="0" applyFont="1" applyFill="1"/>
    <xf numFmtId="0" fontId="7" fillId="4" borderId="0" xfId="0" applyFont="1" applyFill="1" applyAlignment="1">
      <alignment horizontal="left"/>
    </xf>
    <xf numFmtId="37" fontId="7" fillId="0" borderId="0" xfId="3" applyNumberFormat="1" applyFont="1" applyFill="1" applyAlignment="1"/>
    <xf numFmtId="0" fontId="19" fillId="0" borderId="20" xfId="0" applyFont="1" applyBorder="1"/>
    <xf numFmtId="37" fontId="3" fillId="0" borderId="20" xfId="0" applyNumberFormat="1" applyFont="1" applyBorder="1" applyAlignment="1">
      <alignment horizontal="right"/>
    </xf>
    <xf numFmtId="37" fontId="20" fillId="3" borderId="20" xfId="0" applyNumberFormat="1" applyFont="1" applyFill="1" applyBorder="1" applyAlignment="1">
      <alignment horizontal="right"/>
    </xf>
    <xf numFmtId="37" fontId="19" fillId="0" borderId="0" xfId="0" applyNumberFormat="1" applyFont="1" applyAlignment="1">
      <alignment horizontal="right"/>
    </xf>
    <xf numFmtId="37" fontId="7" fillId="0" borderId="0" xfId="3" applyNumberFormat="1" applyFont="1" applyAlignment="1"/>
    <xf numFmtId="37" fontId="3" fillId="4" borderId="0" xfId="0" applyNumberFormat="1" applyFont="1" applyFill="1" applyAlignment="1">
      <alignment horizontal="center" wrapText="1"/>
    </xf>
    <xf numFmtId="167" fontId="3" fillId="0" borderId="20" xfId="0" applyNumberFormat="1" applyFont="1" applyBorder="1" applyAlignment="1">
      <alignment horizontal="right"/>
    </xf>
    <xf numFmtId="0" fontId="7" fillId="0" borderId="19" xfId="0" applyFont="1" applyBorder="1" applyAlignment="1">
      <alignment horizontal="right"/>
    </xf>
    <xf numFmtId="37" fontId="7" fillId="0" borderId="19" xfId="0" applyNumberFormat="1" applyFont="1" applyBorder="1" applyAlignment="1">
      <alignment horizontal="right"/>
    </xf>
    <xf numFmtId="0" fontId="16" fillId="4" borderId="0" xfId="0" applyFont="1" applyFill="1" applyAlignment="1">
      <alignment horizontal="center"/>
    </xf>
    <xf numFmtId="37" fontId="7" fillId="0" borderId="0" xfId="1" applyNumberFormat="1" applyFont="1" applyFill="1"/>
    <xf numFmtId="37" fontId="8" fillId="3" borderId="0" xfId="1" applyNumberFormat="1" applyFont="1" applyFill="1"/>
    <xf numFmtId="37" fontId="3" fillId="0" borderId="0" xfId="4" applyNumberFormat="1" applyFont="1" applyAlignment="1">
      <alignment vertical="center"/>
    </xf>
    <xf numFmtId="37" fontId="7" fillId="0" borderId="0" xfId="4" applyNumberFormat="1" applyFont="1"/>
    <xf numFmtId="37" fontId="26" fillId="0" borderId="0" xfId="4" applyNumberFormat="1" applyFont="1"/>
    <xf numFmtId="37" fontId="27" fillId="0" borderId="0" xfId="4" applyNumberFormat="1" applyFont="1"/>
    <xf numFmtId="37" fontId="3" fillId="0" borderId="0" xfId="4" applyNumberFormat="1" applyFont="1"/>
    <xf numFmtId="37" fontId="20" fillId="3" borderId="0" xfId="4" applyNumberFormat="1" applyFont="1" applyFill="1"/>
    <xf numFmtId="37" fontId="28" fillId="0" borderId="0" xfId="4" applyNumberFormat="1" applyFont="1"/>
    <xf numFmtId="37" fontId="7" fillId="0" borderId="18" xfId="4" applyNumberFormat="1" applyFont="1" applyBorder="1" applyAlignment="1">
      <alignment horizontal="left" indent="1"/>
    </xf>
    <xf numFmtId="37" fontId="3" fillId="0" borderId="18" xfId="4" applyNumberFormat="1" applyFont="1" applyBorder="1"/>
    <xf numFmtId="37" fontId="7" fillId="0" borderId="18" xfId="4" applyNumberFormat="1" applyFont="1" applyBorder="1"/>
    <xf numFmtId="37" fontId="29" fillId="0" borderId="0" xfId="4" applyNumberFormat="1" applyFont="1"/>
    <xf numFmtId="37" fontId="28" fillId="0" borderId="0" xfId="4" applyNumberFormat="1" applyFont="1" applyAlignment="1">
      <alignment vertical="center"/>
    </xf>
    <xf numFmtId="37" fontId="0" fillId="0" borderId="0" xfId="0" applyNumberFormat="1"/>
    <xf numFmtId="37" fontId="3" fillId="0" borderId="18" xfId="4" applyNumberFormat="1" applyFont="1" applyBorder="1" applyAlignment="1">
      <alignment wrapText="1"/>
    </xf>
    <xf numFmtId="37" fontId="8" fillId="3" borderId="18" xfId="4" applyNumberFormat="1" applyFont="1" applyFill="1" applyBorder="1"/>
    <xf numFmtId="37" fontId="3" fillId="3" borderId="0" xfId="4" applyNumberFormat="1" applyFont="1" applyFill="1"/>
    <xf numFmtId="37" fontId="3" fillId="0" borderId="0" xfId="4" applyNumberFormat="1" applyFont="1" applyAlignment="1">
      <alignment wrapText="1"/>
    </xf>
    <xf numFmtId="0" fontId="7" fillId="0" borderId="1" xfId="0" applyFont="1" applyBorder="1"/>
    <xf numFmtId="0" fontId="3" fillId="0" borderId="1" xfId="0" applyFont="1" applyBorder="1"/>
    <xf numFmtId="0" fontId="3" fillId="0" borderId="1" xfId="0" applyFont="1" applyBorder="1" applyAlignment="1">
      <alignment horizontal="center"/>
    </xf>
    <xf numFmtId="3" fontId="3" fillId="0" borderId="1" xfId="0" applyNumberFormat="1" applyFont="1" applyBorder="1"/>
    <xf numFmtId="3" fontId="7" fillId="0" borderId="1" xfId="0" applyNumberFormat="1" applyFont="1" applyBorder="1"/>
    <xf numFmtId="3" fontId="7" fillId="0" borderId="0" xfId="0" applyNumberFormat="1" applyFont="1"/>
    <xf numFmtId="10" fontId="3" fillId="0" borderId="0" xfId="0" applyNumberFormat="1" applyFont="1"/>
    <xf numFmtId="10" fontId="3" fillId="5" borderId="0" xfId="0" applyNumberFormat="1" applyFont="1" applyFill="1"/>
    <xf numFmtId="3" fontId="3" fillId="0" borderId="20" xfId="0" applyNumberFormat="1" applyFont="1" applyBorder="1" applyAlignment="1">
      <alignment horizontal="left"/>
    </xf>
    <xf numFmtId="10" fontId="3" fillId="0" borderId="20" xfId="0" applyNumberFormat="1" applyFont="1" applyBorder="1" applyAlignment="1">
      <alignment horizontal="center"/>
    </xf>
    <xf numFmtId="10" fontId="3" fillId="0" borderId="0" xfId="0" applyNumberFormat="1" applyFont="1" applyAlignment="1">
      <alignment horizontal="center"/>
    </xf>
    <xf numFmtId="3" fontId="3" fillId="0" borderId="0" xfId="0" applyNumberFormat="1" applyFont="1" applyAlignment="1">
      <alignment horizontal="left"/>
    </xf>
    <xf numFmtId="0" fontId="3" fillId="0" borderId="0" xfId="0" quotePrefix="1" applyFont="1" applyAlignment="1">
      <alignment wrapText="1"/>
    </xf>
    <xf numFmtId="10" fontId="3" fillId="0" borderId="0" xfId="3" applyNumberFormat="1" applyFont="1" applyFill="1" applyAlignment="1"/>
    <xf numFmtId="10" fontId="20" fillId="5" borderId="0" xfId="3" applyNumberFormat="1" applyFont="1" applyFill="1" applyAlignment="1"/>
    <xf numFmtId="10" fontId="20" fillId="0" borderId="0" xfId="3" applyNumberFormat="1" applyFont="1" applyFill="1" applyAlignment="1"/>
    <xf numFmtId="10" fontId="3" fillId="0" borderId="20" xfId="3" applyNumberFormat="1" applyFont="1" applyFill="1" applyBorder="1" applyAlignment="1"/>
    <xf numFmtId="10" fontId="3" fillId="0" borderId="0" xfId="3" applyNumberFormat="1" applyFont="1" applyFill="1" applyBorder="1" applyAlignment="1"/>
    <xf numFmtId="3" fontId="3" fillId="0" borderId="0" xfId="0" quotePrefix="1" applyNumberFormat="1" applyFont="1" applyAlignment="1">
      <alignment horizontal="right"/>
    </xf>
    <xf numFmtId="3" fontId="3" fillId="0" borderId="20" xfId="0" applyNumberFormat="1" applyFont="1" applyBorder="1" applyAlignment="1">
      <alignment horizontal="right"/>
    </xf>
    <xf numFmtId="0" fontId="7" fillId="0" borderId="0" xfId="0" applyFont="1" applyAlignment="1">
      <alignment horizontal="left" indent="1"/>
    </xf>
    <xf numFmtId="3" fontId="7" fillId="0" borderId="0" xfId="0" quotePrefix="1" applyNumberFormat="1" applyFont="1" applyAlignment="1">
      <alignment horizontal="right"/>
    </xf>
    <xf numFmtId="167" fontId="7" fillId="0" borderId="0" xfId="3" applyNumberFormat="1" applyFont="1" applyAlignment="1"/>
    <xf numFmtId="10" fontId="7" fillId="0" borderId="0" xfId="3" applyNumberFormat="1" applyFont="1" applyAlignment="1"/>
    <xf numFmtId="10" fontId="7" fillId="5" borderId="18" xfId="3" applyNumberFormat="1" applyFont="1" applyFill="1" applyBorder="1" applyAlignment="1"/>
    <xf numFmtId="169" fontId="7" fillId="0" borderId="0" xfId="0" applyNumberFormat="1" applyFont="1"/>
    <xf numFmtId="168" fontId="7" fillId="0" borderId="19" xfId="0" applyNumberFormat="1" applyFont="1" applyBorder="1" applyAlignment="1">
      <alignment horizontal="left"/>
    </xf>
    <xf numFmtId="3" fontId="7" fillId="0" borderId="19" xfId="0" applyNumberFormat="1" applyFont="1" applyBorder="1" applyAlignment="1">
      <alignment horizontal="center"/>
    </xf>
    <xf numFmtId="170" fontId="7" fillId="0" borderId="19" xfId="0" applyNumberFormat="1" applyFont="1" applyBorder="1" applyAlignment="1">
      <alignment horizontal="center"/>
    </xf>
    <xf numFmtId="0" fontId="30" fillId="0" borderId="0" xfId="0" applyFont="1"/>
    <xf numFmtId="169" fontId="3" fillId="0" borderId="0" xfId="0" applyNumberFormat="1" applyFont="1"/>
    <xf numFmtId="168" fontId="7" fillId="0" borderId="0" xfId="0" applyNumberFormat="1" applyFont="1" applyAlignment="1">
      <alignment horizontal="left"/>
    </xf>
    <xf numFmtId="170" fontId="3" fillId="0" borderId="0" xfId="0" applyNumberFormat="1" applyFont="1" applyAlignment="1">
      <alignment horizontal="center"/>
    </xf>
    <xf numFmtId="10" fontId="3" fillId="5" borderId="0" xfId="3" applyNumberFormat="1" applyFont="1" applyFill="1" applyAlignment="1"/>
    <xf numFmtId="10" fontId="20" fillId="3" borderId="0" xfId="3" applyNumberFormat="1" applyFont="1" applyFill="1" applyAlignment="1"/>
    <xf numFmtId="171" fontId="3" fillId="0" borderId="0" xfId="0" applyNumberFormat="1" applyFont="1"/>
    <xf numFmtId="168" fontId="3" fillId="0" borderId="0" xfId="0" applyNumberFormat="1" applyFont="1"/>
    <xf numFmtId="168" fontId="3" fillId="0" borderId="0" xfId="0" applyNumberFormat="1" applyFont="1" applyAlignment="1">
      <alignment horizontal="left"/>
    </xf>
    <xf numFmtId="10" fontId="3" fillId="0" borderId="0" xfId="0" applyNumberFormat="1" applyFont="1" applyAlignment="1">
      <alignment horizontal="right"/>
    </xf>
    <xf numFmtId="37" fontId="31" fillId="0" borderId="0" xfId="0" applyNumberFormat="1" applyFont="1" applyAlignment="1">
      <alignment horizontal="right"/>
    </xf>
    <xf numFmtId="37" fontId="7" fillId="0" borderId="0" xfId="1" applyNumberFormat="1" applyFont="1" applyFill="1" applyAlignment="1"/>
    <xf numFmtId="164" fontId="3" fillId="0" borderId="0" xfId="1" applyNumberFormat="1" applyFont="1"/>
    <xf numFmtId="170" fontId="7" fillId="0" borderId="19" xfId="0" applyNumberFormat="1" applyFont="1" applyBorder="1"/>
    <xf numFmtId="37" fontId="7" fillId="0" borderId="19" xfId="1" applyNumberFormat="1" applyFont="1" applyFill="1" applyBorder="1" applyAlignment="1">
      <alignment horizontal="right"/>
    </xf>
    <xf numFmtId="3" fontId="3" fillId="0" borderId="0" xfId="0" applyNumberFormat="1" applyFont="1" applyAlignment="1">
      <alignment horizontal="right"/>
    </xf>
    <xf numFmtId="170" fontId="3" fillId="0" borderId="0" xfId="0" applyNumberFormat="1" applyFont="1"/>
    <xf numFmtId="37" fontId="7" fillId="0" borderId="18" xfId="1" applyNumberFormat="1" applyFont="1" applyFill="1" applyBorder="1" applyAlignment="1">
      <alignment horizontal="right"/>
    </xf>
    <xf numFmtId="37" fontId="7" fillId="0" borderId="0" xfId="1" applyNumberFormat="1" applyFont="1" applyFill="1" applyBorder="1" applyAlignment="1">
      <alignment horizontal="right"/>
    </xf>
    <xf numFmtId="37" fontId="3" fillId="4" borderId="0" xfId="0" applyNumberFormat="1" applyFont="1" applyFill="1"/>
    <xf numFmtId="3" fontId="7" fillId="0" borderId="18" xfId="0" applyNumberFormat="1" applyFont="1" applyBorder="1" applyAlignment="1">
      <alignment horizontal="center"/>
    </xf>
    <xf numFmtId="0" fontId="2" fillId="0" borderId="21" xfId="0" applyFont="1" applyBorder="1" applyAlignment="1">
      <alignment horizontal="center"/>
    </xf>
    <xf numFmtId="0" fontId="32" fillId="0" borderId="22" xfId="0" applyFont="1" applyBorder="1" applyAlignment="1">
      <alignment horizontal="center"/>
    </xf>
    <xf numFmtId="0" fontId="2" fillId="0" borderId="22" xfId="0" applyFont="1" applyBorder="1"/>
    <xf numFmtId="3" fontId="2" fillId="0" borderId="22" xfId="0" applyNumberFormat="1" applyFont="1" applyBorder="1" applyAlignment="1">
      <alignment horizontal="center"/>
    </xf>
    <xf numFmtId="3" fontId="32" fillId="0" borderId="22" xfId="0" applyNumberFormat="1" applyFont="1" applyBorder="1"/>
    <xf numFmtId="0" fontId="32" fillId="0" borderId="22" xfId="0" applyFont="1" applyBorder="1"/>
    <xf numFmtId="37" fontId="2" fillId="0" borderId="23" xfId="0" applyNumberFormat="1" applyFont="1" applyBorder="1"/>
    <xf numFmtId="37" fontId="2" fillId="0" borderId="24" xfId="0" applyNumberFormat="1" applyFont="1" applyBorder="1"/>
    <xf numFmtId="37" fontId="3" fillId="5" borderId="25" xfId="0" applyNumberFormat="1" applyFont="1" applyFill="1" applyBorder="1"/>
    <xf numFmtId="10" fontId="3" fillId="5" borderId="26" xfId="3" applyNumberFormat="1" applyFont="1" applyFill="1" applyBorder="1" applyAlignment="1">
      <alignment horizontal="center"/>
    </xf>
    <xf numFmtId="164" fontId="4" fillId="0" borderId="0" xfId="1" applyNumberFormat="1" applyFont="1" applyFill="1"/>
    <xf numFmtId="0" fontId="2" fillId="0" borderId="0" xfId="0" applyFont="1" applyAlignment="1">
      <alignment horizontal="center"/>
    </xf>
    <xf numFmtId="0" fontId="32" fillId="0" borderId="0" xfId="0" applyFont="1" applyAlignment="1">
      <alignment horizontal="center"/>
    </xf>
    <xf numFmtId="0" fontId="2" fillId="0" borderId="0" xfId="0" applyFont="1"/>
    <xf numFmtId="3" fontId="2" fillId="0" borderId="0" xfId="0" applyNumberFormat="1" applyFont="1" applyAlignment="1">
      <alignment horizontal="center"/>
    </xf>
    <xf numFmtId="0" fontId="32" fillId="0" borderId="0" xfId="0" applyFont="1"/>
    <xf numFmtId="37" fontId="2" fillId="0" borderId="0" xfId="0" applyNumberFormat="1" applyFont="1"/>
    <xf numFmtId="0" fontId="2" fillId="0" borderId="20" xfId="0" applyFont="1" applyBorder="1"/>
    <xf numFmtId="0" fontId="32" fillId="0" borderId="20" xfId="0" applyFont="1" applyBorder="1"/>
    <xf numFmtId="10" fontId="3" fillId="0" borderId="0" xfId="3" applyNumberFormat="1" applyFont="1" applyFill="1" applyBorder="1"/>
    <xf numFmtId="3" fontId="2" fillId="0" borderId="20" xfId="0" applyNumberFormat="1" applyFont="1" applyBorder="1" applyAlignment="1">
      <alignment horizontal="center"/>
    </xf>
    <xf numFmtId="0" fontId="24" fillId="0" borderId="0" xfId="0" applyFont="1"/>
    <xf numFmtId="3" fontId="33" fillId="0" borderId="0" xfId="0" applyNumberFormat="1" applyFont="1" applyAlignment="1">
      <alignment horizontal="right"/>
    </xf>
    <xf numFmtId="37" fontId="8" fillId="3" borderId="0" xfId="1" applyNumberFormat="1" applyFont="1" applyFill="1" applyAlignment="1"/>
    <xf numFmtId="0" fontId="7" fillId="0" borderId="22" xfId="0" applyFont="1" applyBorder="1"/>
    <xf numFmtId="0" fontId="2" fillId="0" borderId="22" xfId="0" applyFont="1" applyBorder="1" applyAlignment="1">
      <alignment horizontal="left"/>
    </xf>
    <xf numFmtId="0" fontId="2" fillId="0" borderId="22" xfId="0" applyFont="1" applyBorder="1" applyAlignment="1">
      <alignment horizontal="center"/>
    </xf>
    <xf numFmtId="37" fontId="3" fillId="0" borderId="0" xfId="1" applyNumberFormat="1" applyFont="1" applyAlignment="1"/>
    <xf numFmtId="37" fontId="3" fillId="0" borderId="0" xfId="5" applyNumberFormat="1" applyFont="1" applyFill="1" applyAlignment="1"/>
    <xf numFmtId="37" fontId="3" fillId="0" borderId="0" xfId="1" applyNumberFormat="1" applyFont="1" applyFill="1" applyAlignment="1"/>
    <xf numFmtId="37" fontId="20" fillId="3" borderId="0" xfId="1" applyNumberFormat="1" applyFont="1" applyFill="1" applyAlignment="1"/>
    <xf numFmtId="167" fontId="3" fillId="0" borderId="0" xfId="3" applyNumberFormat="1" applyFont="1" applyAlignment="1"/>
    <xf numFmtId="0" fontId="34" fillId="0" borderId="0" xfId="0" applyFont="1"/>
    <xf numFmtId="0" fontId="35" fillId="0" borderId="0" xfId="0" applyFont="1"/>
    <xf numFmtId="0" fontId="36" fillId="0" borderId="0" xfId="0" applyFont="1"/>
    <xf numFmtId="0" fontId="31" fillId="0" borderId="0" xfId="0" applyFont="1" applyAlignment="1">
      <alignment horizontal="center"/>
    </xf>
    <xf numFmtId="37" fontId="3" fillId="0" borderId="0" xfId="0" applyNumberFormat="1" applyFont="1" applyAlignment="1">
      <alignment horizontal="left"/>
    </xf>
    <xf numFmtId="37" fontId="7" fillId="0" borderId="0" xfId="2" applyNumberFormat="1" applyFont="1" applyBorder="1" applyAlignment="1">
      <alignment horizontal="right"/>
    </xf>
    <xf numFmtId="0" fontId="37" fillId="0" borderId="0" xfId="0" applyFont="1" applyAlignment="1">
      <alignment horizontal="center"/>
    </xf>
    <xf numFmtId="0" fontId="38" fillId="0" borderId="0" xfId="0" applyFont="1"/>
    <xf numFmtId="0" fontId="39" fillId="0" borderId="0" xfId="0" applyFont="1" applyAlignment="1">
      <alignment horizontal="center"/>
    </xf>
    <xf numFmtId="10" fontId="32" fillId="0" borderId="0" xfId="3" applyNumberFormat="1" applyFont="1" applyFill="1" applyBorder="1" applyAlignment="1">
      <alignment horizontal="left"/>
    </xf>
    <xf numFmtId="37" fontId="32" fillId="0" borderId="0" xfId="0" applyNumberFormat="1" applyFont="1" applyAlignment="1">
      <alignment horizontal="left"/>
    </xf>
    <xf numFmtId="166" fontId="2" fillId="0" borderId="0" xfId="3" applyNumberFormat="1" applyFont="1" applyFill="1" applyBorder="1" applyAlignment="1">
      <alignment horizontal="right"/>
    </xf>
    <xf numFmtId="0" fontId="32" fillId="0" borderId="0" xfId="0" applyFont="1" applyAlignment="1">
      <alignment horizontal="left"/>
    </xf>
    <xf numFmtId="37" fontId="2" fillId="0" borderId="0" xfId="0" applyNumberFormat="1" applyFont="1" applyAlignment="1">
      <alignment horizontal="right"/>
    </xf>
    <xf numFmtId="0" fontId="33" fillId="0" borderId="0" xfId="0" applyFont="1"/>
    <xf numFmtId="0" fontId="32" fillId="0" borderId="0" xfId="0" applyFont="1" applyAlignment="1">
      <alignment wrapText="1"/>
    </xf>
    <xf numFmtId="0" fontId="32" fillId="0" borderId="0" xfId="0" quotePrefix="1" applyFont="1" applyAlignment="1">
      <alignment horizontal="left"/>
    </xf>
    <xf numFmtId="0" fontId="40" fillId="0" borderId="0" xfId="0" applyFont="1" applyAlignment="1">
      <alignment horizontal="center"/>
    </xf>
    <xf numFmtId="0" fontId="41" fillId="0" borderId="0" xfId="0" applyFont="1" applyAlignment="1">
      <alignment horizontal="left" wrapText="1"/>
    </xf>
    <xf numFmtId="0" fontId="40" fillId="0" borderId="0" xfId="0" applyFont="1" applyAlignment="1">
      <alignment horizontal="left"/>
    </xf>
    <xf numFmtId="0" fontId="41" fillId="0" borderId="0" xfId="0" applyFont="1" applyAlignment="1">
      <alignment horizontal="left" vertical="top"/>
    </xf>
    <xf numFmtId="0" fontId="41" fillId="0" borderId="0" xfId="0" applyFont="1" applyAlignment="1">
      <alignment horizontal="left" vertical="top" wrapText="1"/>
    </xf>
    <xf numFmtId="0" fontId="40" fillId="0" borderId="1" xfId="0" applyFont="1" applyBorder="1" applyAlignment="1">
      <alignment horizontal="left"/>
    </xf>
    <xf numFmtId="0" fontId="32" fillId="0" borderId="1" xfId="0" applyFont="1" applyBorder="1"/>
    <xf numFmtId="0" fontId="32" fillId="0" borderId="1" xfId="0" applyFont="1" applyBorder="1" applyAlignment="1">
      <alignment horizontal="center"/>
    </xf>
    <xf numFmtId="172" fontId="7" fillId="0" borderId="0" xfId="6" applyFont="1" applyAlignment="1">
      <alignment horizontal="centerContinuous"/>
    </xf>
    <xf numFmtId="172" fontId="43" fillId="0" borderId="0" xfId="6" applyFont="1" applyAlignment="1">
      <alignment horizontal="centerContinuous"/>
    </xf>
    <xf numFmtId="172" fontId="43" fillId="0" borderId="0" xfId="6" applyFont="1" applyAlignment="1">
      <alignment horizontal="center"/>
    </xf>
    <xf numFmtId="172" fontId="9" fillId="0" borderId="0" xfId="6" applyFont="1" applyAlignment="1">
      <alignment horizontal="centerContinuous"/>
    </xf>
    <xf numFmtId="172" fontId="4" fillId="0" borderId="0" xfId="6" applyFont="1" applyAlignment="1">
      <alignment horizontal="center"/>
    </xf>
    <xf numFmtId="0" fontId="45" fillId="0" borderId="1" xfId="4" applyFont="1" applyBorder="1" applyAlignment="1">
      <alignment horizontal="center"/>
    </xf>
    <xf numFmtId="0" fontId="45" fillId="0" borderId="1" xfId="4" applyFont="1" applyBorder="1"/>
    <xf numFmtId="172" fontId="4" fillId="0" borderId="1" xfId="6" applyFont="1" applyBorder="1" applyAlignment="1">
      <alignment horizontal="center"/>
    </xf>
    <xf numFmtId="0" fontId="46" fillId="0" borderId="0" xfId="4" applyFont="1" applyAlignment="1">
      <alignment horizontal="center"/>
    </xf>
    <xf numFmtId="0" fontId="46" fillId="0" borderId="0" xfId="4" applyFont="1"/>
    <xf numFmtId="172" fontId="4" fillId="0" borderId="0" xfId="6" applyFont="1"/>
    <xf numFmtId="37" fontId="9" fillId="3" borderId="0" xfId="5" applyNumberFormat="1" applyFont="1" applyFill="1"/>
    <xf numFmtId="37" fontId="9" fillId="3" borderId="20" xfId="5" applyNumberFormat="1" applyFont="1" applyFill="1" applyBorder="1"/>
    <xf numFmtId="37" fontId="4" fillId="0" borderId="0" xfId="5" applyNumberFormat="1" applyFont="1" applyFill="1"/>
    <xf numFmtId="0" fontId="4" fillId="0" borderId="0" xfId="4"/>
    <xf numFmtId="0" fontId="4" fillId="0" borderId="18" xfId="4" applyBorder="1"/>
    <xf numFmtId="0" fontId="47" fillId="0" borderId="0" xfId="4" applyFont="1"/>
    <xf numFmtId="37" fontId="9" fillId="3" borderId="18" xfId="5" applyNumberFormat="1" applyFont="1" applyFill="1" applyBorder="1"/>
    <xf numFmtId="173" fontId="4" fillId="0" borderId="0" xfId="5" applyNumberFormat="1" applyFont="1" applyFill="1"/>
    <xf numFmtId="174" fontId="4" fillId="0" borderId="0" xfId="5" applyNumberFormat="1" applyFont="1" applyFill="1"/>
    <xf numFmtId="39" fontId="4" fillId="0" borderId="0" xfId="5" applyNumberFormat="1" applyFont="1" applyFill="1"/>
    <xf numFmtId="172" fontId="4" fillId="0" borderId="1" xfId="6" applyFont="1" applyBorder="1"/>
    <xf numFmtId="0" fontId="46" fillId="0" borderId="1" xfId="4" applyFont="1" applyBorder="1"/>
    <xf numFmtId="0" fontId="4" fillId="0" borderId="1" xfId="4" applyBorder="1"/>
    <xf numFmtId="172" fontId="4" fillId="0" borderId="4" xfId="6" applyFont="1" applyBorder="1"/>
    <xf numFmtId="0" fontId="4" fillId="0" borderId="4" xfId="4" applyBorder="1"/>
    <xf numFmtId="0" fontId="46" fillId="0" borderId="4" xfId="4" applyFont="1" applyBorder="1"/>
    <xf numFmtId="44" fontId="4" fillId="0" borderId="0" xfId="7" applyFont="1" applyFill="1"/>
    <xf numFmtId="0" fontId="49" fillId="0" borderId="0" xfId="0" applyFont="1" applyAlignment="1">
      <alignment horizontal="centerContinuous"/>
    </xf>
    <xf numFmtId="0" fontId="43" fillId="0" borderId="0" xfId="0" applyFont="1" applyAlignment="1">
      <alignment horizontal="centerContinuous"/>
    </xf>
    <xf numFmtId="0" fontId="43" fillId="0" borderId="20" xfId="0" applyFont="1" applyBorder="1"/>
    <xf numFmtId="0" fontId="49" fillId="0" borderId="0" xfId="0" applyFont="1"/>
    <xf numFmtId="0" fontId="49" fillId="0" borderId="0" xfId="0" applyFont="1" applyAlignment="1">
      <alignment horizontal="center"/>
    </xf>
    <xf numFmtId="5" fontId="4" fillId="0" borderId="0" xfId="5" applyNumberFormat="1" applyFont="1" applyFill="1"/>
    <xf numFmtId="0" fontId="49" fillId="0" borderId="0" xfId="0" applyFont="1" applyAlignment="1">
      <alignment horizontal="left" indent="1"/>
    </xf>
    <xf numFmtId="0" fontId="49" fillId="0" borderId="18" xfId="0" applyFont="1" applyBorder="1"/>
    <xf numFmtId="0" fontId="4" fillId="0" borderId="18" xfId="0" applyFont="1" applyBorder="1"/>
    <xf numFmtId="5" fontId="4" fillId="0" borderId="18" xfId="5" applyNumberFormat="1" applyFont="1" applyFill="1" applyBorder="1"/>
    <xf numFmtId="175" fontId="4" fillId="0" borderId="0" xfId="0" applyNumberFormat="1" applyFont="1"/>
    <xf numFmtId="176" fontId="4" fillId="0" borderId="0" xfId="0" applyNumberFormat="1" applyFont="1"/>
    <xf numFmtId="38" fontId="4" fillId="0" borderId="0" xfId="0" applyNumberFormat="1" applyFont="1"/>
    <xf numFmtId="7" fontId="4" fillId="0" borderId="0" xfId="0" applyNumberFormat="1" applyFont="1"/>
    <xf numFmtId="0" fontId="43" fillId="0" borderId="0" xfId="8" applyFont="1" applyAlignment="1">
      <alignment horizontal="centerContinuous"/>
    </xf>
    <xf numFmtId="0" fontId="49" fillId="0" borderId="0" xfId="8" applyFont="1" applyAlignment="1">
      <alignment horizontal="centerContinuous"/>
    </xf>
    <xf numFmtId="0" fontId="32" fillId="0" borderId="0" xfId="8" applyFont="1" applyAlignment="1">
      <alignment horizontal="centerContinuous"/>
    </xf>
    <xf numFmtId="0" fontId="4" fillId="0" borderId="0" xfId="8"/>
    <xf numFmtId="0" fontId="50" fillId="0" borderId="0" xfId="8" applyFont="1" applyAlignment="1">
      <alignment horizontal="centerContinuous"/>
    </xf>
    <xf numFmtId="0" fontId="51" fillId="0" borderId="0" xfId="8" applyFont="1" applyAlignment="1">
      <alignment horizontal="centerContinuous"/>
    </xf>
    <xf numFmtId="0" fontId="52" fillId="0" borderId="0" xfId="8" applyFont="1" applyAlignment="1">
      <alignment horizontal="centerContinuous"/>
    </xf>
    <xf numFmtId="0" fontId="4" fillId="0" borderId="0" xfId="8" applyAlignment="1">
      <alignment horizontal="centerContinuous"/>
    </xf>
    <xf numFmtId="0" fontId="49" fillId="0" borderId="0" xfId="8" applyFont="1" applyAlignment="1">
      <alignment horizontal="left"/>
    </xf>
    <xf numFmtId="0" fontId="49" fillId="0" borderId="0" xfId="8" applyFont="1"/>
    <xf numFmtId="0" fontId="3" fillId="0" borderId="0" xfId="8" applyFont="1"/>
    <xf numFmtId="0" fontId="3" fillId="0" borderId="0" xfId="8" applyFont="1" applyAlignment="1">
      <alignment horizontal="center"/>
    </xf>
    <xf numFmtId="0" fontId="43" fillId="0" borderId="1" xfId="8" applyFont="1" applyBorder="1" applyAlignment="1">
      <alignment horizontal="center"/>
    </xf>
    <xf numFmtId="0" fontId="7" fillId="0" borderId="1" xfId="8" applyFont="1" applyBorder="1" applyAlignment="1">
      <alignment horizontal="center"/>
    </xf>
    <xf numFmtId="0" fontId="7" fillId="0" borderId="1" xfId="8" applyFont="1" applyBorder="1" applyAlignment="1">
      <alignment horizontal="center" wrapText="1"/>
    </xf>
    <xf numFmtId="0" fontId="7" fillId="0" borderId="0" xfId="8" applyFont="1" applyAlignment="1">
      <alignment horizontal="center"/>
    </xf>
    <xf numFmtId="0" fontId="54" fillId="0" borderId="0" xfId="8" applyFont="1" applyAlignment="1">
      <alignment horizontal="center"/>
    </xf>
    <xf numFmtId="0" fontId="49" fillId="0" borderId="0" xfId="8" applyFont="1" applyAlignment="1">
      <alignment horizontal="center"/>
    </xf>
    <xf numFmtId="0" fontId="4" fillId="0" borderId="0" xfId="8" applyAlignment="1">
      <alignment horizontal="left"/>
    </xf>
    <xf numFmtId="37" fontId="4" fillId="0" borderId="0" xfId="8" applyNumberFormat="1"/>
    <xf numFmtId="167" fontId="4" fillId="0" borderId="20" xfId="8" applyNumberFormat="1" applyBorder="1"/>
    <xf numFmtId="37" fontId="52" fillId="0" borderId="0" xfId="8" applyNumberFormat="1" applyFont="1"/>
    <xf numFmtId="0" fontId="4" fillId="0" borderId="0" xfId="8" applyAlignment="1">
      <alignment horizontal="right"/>
    </xf>
    <xf numFmtId="0" fontId="43" fillId="0" borderId="0" xfId="8" applyFont="1" applyAlignment="1">
      <alignment horizontal="left"/>
    </xf>
    <xf numFmtId="0" fontId="50" fillId="0" borderId="0" xfId="8" applyFont="1" applyAlignment="1">
      <alignment horizontal="center"/>
    </xf>
    <xf numFmtId="0" fontId="51" fillId="0" borderId="0" xfId="8" applyFont="1" applyAlignment="1">
      <alignment horizontal="center"/>
    </xf>
    <xf numFmtId="0" fontId="9" fillId="0" borderId="0" xfId="8" applyFont="1"/>
    <xf numFmtId="0" fontId="52" fillId="0" borderId="0" xfId="8" applyFont="1" applyAlignment="1">
      <alignment horizontal="center"/>
    </xf>
    <xf numFmtId="0" fontId="4" fillId="0" borderId="0" xfId="8" applyAlignment="1">
      <alignment vertical="top"/>
    </xf>
    <xf numFmtId="0" fontId="4" fillId="0" borderId="18" xfId="8" applyBorder="1" applyAlignment="1">
      <alignment horizontal="center"/>
    </xf>
    <xf numFmtId="0" fontId="52" fillId="0" borderId="0" xfId="8" applyFont="1"/>
    <xf numFmtId="0" fontId="52" fillId="0" borderId="0" xfId="8" applyFont="1" applyAlignment="1">
      <alignment horizontal="left" vertical="top"/>
    </xf>
    <xf numFmtId="0" fontId="52" fillId="0" borderId="0" xfId="8" applyFont="1" applyAlignment="1">
      <alignment horizontal="center" vertical="top"/>
    </xf>
    <xf numFmtId="0" fontId="2" fillId="0" borderId="0" xfId="8" applyFont="1" applyAlignment="1">
      <alignment horizontal="centerContinuous"/>
    </xf>
    <xf numFmtId="0" fontId="7" fillId="0" borderId="0" xfId="8" applyFont="1" applyAlignment="1">
      <alignment horizontal="centerContinuous"/>
    </xf>
    <xf numFmtId="0" fontId="61" fillId="0" borderId="0" xfId="8" applyFont="1" applyAlignment="1">
      <alignment horizontal="centerContinuous"/>
    </xf>
    <xf numFmtId="0" fontId="52" fillId="0" borderId="20" xfId="8" applyFont="1" applyBorder="1"/>
    <xf numFmtId="0" fontId="4" fillId="0" borderId="20" xfId="8" applyBorder="1"/>
    <xf numFmtId="0" fontId="52" fillId="0" borderId="20" xfId="8" applyFont="1" applyBorder="1" applyAlignment="1">
      <alignment horizontal="center" wrapText="1"/>
    </xf>
    <xf numFmtId="0" fontId="52" fillId="0" borderId="20" xfId="8" applyFont="1" applyBorder="1" applyAlignment="1">
      <alignment horizontal="center"/>
    </xf>
    <xf numFmtId="0" fontId="58" fillId="0" borderId="0" xfId="8" applyFont="1" applyAlignment="1">
      <alignment horizontal="center"/>
    </xf>
    <xf numFmtId="0" fontId="4" fillId="0" borderId="0" xfId="8" applyAlignment="1">
      <alignment horizontal="center"/>
    </xf>
    <xf numFmtId="0" fontId="52" fillId="0" borderId="20" xfId="8" applyFont="1" applyBorder="1" applyAlignment="1">
      <alignment horizontal="right"/>
    </xf>
    <xf numFmtId="0" fontId="4" fillId="0" borderId="20" xfId="8" applyBorder="1" applyAlignment="1">
      <alignment horizontal="center" wrapText="1"/>
    </xf>
    <xf numFmtId="0" fontId="4" fillId="3" borderId="0" xfId="8" applyFill="1" applyAlignment="1">
      <alignment horizontal="left" indent="1"/>
    </xf>
    <xf numFmtId="0" fontId="4" fillId="3" borderId="0" xfId="8" applyFill="1"/>
    <xf numFmtId="37" fontId="4" fillId="3" borderId="0" xfId="8" applyNumberFormat="1" applyFill="1" applyAlignment="1">
      <alignment horizontal="right" wrapText="1"/>
    </xf>
    <xf numFmtId="168" fontId="4" fillId="0" borderId="0" xfId="3" applyNumberFormat="1" applyFont="1" applyFill="1" applyAlignment="1">
      <alignment horizontal="center" wrapText="1"/>
    </xf>
    <xf numFmtId="0" fontId="62" fillId="0" borderId="0" xfId="8" applyFont="1" applyAlignment="1">
      <alignment horizontal="left" wrapText="1"/>
    </xf>
    <xf numFmtId="37" fontId="4" fillId="3" borderId="0" xfId="8" applyNumberFormat="1" applyFill="1" applyAlignment="1">
      <alignment horizontal="left" wrapText="1"/>
    </xf>
    <xf numFmtId="0" fontId="52" fillId="0" borderId="18" xfId="8" applyFont="1" applyBorder="1"/>
    <xf numFmtId="0" fontId="4" fillId="0" borderId="18" xfId="8" applyBorder="1"/>
    <xf numFmtId="37" fontId="4" fillId="0" borderId="18" xfId="8" applyNumberFormat="1" applyBorder="1" applyAlignment="1">
      <alignment horizontal="right" wrapText="1"/>
    </xf>
    <xf numFmtId="167" fontId="4" fillId="0" borderId="18" xfId="3" applyNumberFormat="1" applyFont="1" applyFill="1" applyBorder="1" applyAlignment="1">
      <alignment horizontal="center" wrapText="1"/>
    </xf>
    <xf numFmtId="37" fontId="4" fillId="0" borderId="0" xfId="8" applyNumberFormat="1" applyAlignment="1">
      <alignment horizontal="right" wrapText="1"/>
    </xf>
    <xf numFmtId="0" fontId="4" fillId="0" borderId="0" xfId="8" applyAlignment="1">
      <alignment horizontal="right" wrapText="1"/>
    </xf>
    <xf numFmtId="0" fontId="4" fillId="0" borderId="0" xfId="8" applyAlignment="1">
      <alignment horizontal="left" wrapText="1"/>
    </xf>
    <xf numFmtId="0" fontId="4" fillId="0" borderId="20" xfId="8" applyBorder="1" applyAlignment="1">
      <alignment horizontal="right" wrapText="1"/>
    </xf>
    <xf numFmtId="0" fontId="4" fillId="0" borderId="20" xfId="8" applyBorder="1" applyAlignment="1">
      <alignment horizontal="left" wrapText="1"/>
    </xf>
    <xf numFmtId="37" fontId="9" fillId="3" borderId="0" xfId="8" applyNumberFormat="1" applyFont="1" applyFill="1" applyAlignment="1">
      <alignment horizontal="right" wrapText="1"/>
    </xf>
    <xf numFmtId="0" fontId="4" fillId="0" borderId="0" xfId="8" applyAlignment="1">
      <alignment horizontal="left" vertical="center" wrapText="1"/>
    </xf>
    <xf numFmtId="167" fontId="4" fillId="0" borderId="18" xfId="8" applyNumberFormat="1" applyBorder="1" applyAlignment="1">
      <alignment horizontal="center" wrapText="1"/>
    </xf>
    <xf numFmtId="0" fontId="4" fillId="0" borderId="20" xfId="8" applyBorder="1" applyAlignment="1">
      <alignment horizontal="right"/>
    </xf>
    <xf numFmtId="0" fontId="62" fillId="0" borderId="0" xfId="8" applyFont="1" applyAlignment="1">
      <alignment horizontal="left" vertical="center" wrapText="1"/>
    </xf>
    <xf numFmtId="37" fontId="4" fillId="3" borderId="0" xfId="8" applyNumberFormat="1" applyFill="1" applyAlignment="1">
      <alignment horizontal="right"/>
    </xf>
    <xf numFmtId="37" fontId="52" fillId="0" borderId="19" xfId="8" applyNumberFormat="1" applyFont="1" applyBorder="1" applyAlignment="1">
      <alignment horizontal="right" wrapText="1"/>
    </xf>
    <xf numFmtId="164" fontId="4" fillId="3" borderId="0" xfId="5" applyNumberFormat="1" applyFont="1" applyFill="1"/>
    <xf numFmtId="0" fontId="6" fillId="0" borderId="0" xfId="8" applyFont="1"/>
    <xf numFmtId="0" fontId="6" fillId="0" borderId="0" xfId="8" applyFont="1" applyAlignment="1">
      <alignment horizontal="left"/>
    </xf>
    <xf numFmtId="164" fontId="59" fillId="0" borderId="0" xfId="5" applyNumberFormat="1" applyFont="1" applyFill="1"/>
    <xf numFmtId="0" fontId="4" fillId="3" borderId="0" xfId="8" applyFill="1" applyAlignment="1">
      <alignment horizontal="left" wrapText="1"/>
    </xf>
    <xf numFmtId="164" fontId="4" fillId="3" borderId="0" xfId="5" applyNumberFormat="1" applyFont="1" applyFill="1" applyAlignment="1">
      <alignment horizontal="left"/>
    </xf>
    <xf numFmtId="164" fontId="4" fillId="0" borderId="0" xfId="8" applyNumberFormat="1"/>
    <xf numFmtId="37" fontId="4" fillId="0" borderId="0" xfId="8" applyNumberFormat="1" applyAlignment="1">
      <alignment horizontal="right"/>
    </xf>
    <xf numFmtId="38" fontId="4" fillId="0" borderId="0" xfId="8" applyNumberFormat="1"/>
    <xf numFmtId="37" fontId="4" fillId="0" borderId="28" xfId="8" applyNumberFormat="1" applyBorder="1" applyAlignment="1">
      <alignment horizontal="right" wrapText="1"/>
    </xf>
    <xf numFmtId="41" fontId="4" fillId="0" borderId="0" xfId="8" applyNumberFormat="1" applyAlignment="1">
      <alignment horizontal="right"/>
    </xf>
    <xf numFmtId="37" fontId="4" fillId="3" borderId="0" xfId="8" applyNumberFormat="1" applyFill="1"/>
    <xf numFmtId="37" fontId="9" fillId="5" borderId="28" xfId="8" applyNumberFormat="1" applyFont="1" applyFill="1" applyBorder="1" applyAlignment="1">
      <alignment horizontal="right" wrapText="1"/>
    </xf>
    <xf numFmtId="37" fontId="4" fillId="0" borderId="0" xfId="5" applyNumberFormat="1" applyFont="1" applyFill="1" applyBorder="1" applyAlignment="1">
      <alignment horizontal="right"/>
    </xf>
    <xf numFmtId="179" fontId="4" fillId="0" borderId="0" xfId="3" applyNumberFormat="1" applyFont="1" applyFill="1" applyBorder="1" applyAlignment="1">
      <alignment horizontal="right"/>
    </xf>
    <xf numFmtId="164" fontId="4" fillId="0" borderId="0" xfId="5" applyNumberFormat="1" applyFont="1" applyFill="1" applyAlignment="1">
      <alignment horizontal="right"/>
    </xf>
    <xf numFmtId="0" fontId="59" fillId="0" borderId="0" xfId="8" applyFont="1"/>
    <xf numFmtId="0" fontId="52" fillId="0" borderId="21" xfId="8" applyFont="1" applyBorder="1"/>
    <xf numFmtId="0" fontId="4" fillId="0" borderId="22" xfId="8" applyBorder="1"/>
    <xf numFmtId="0" fontId="4" fillId="0" borderId="22" xfId="8" applyBorder="1" applyAlignment="1">
      <alignment horizontal="right"/>
    </xf>
    <xf numFmtId="0" fontId="58" fillId="0" borderId="22" xfId="8" applyFont="1" applyBorder="1"/>
    <xf numFmtId="0" fontId="4" fillId="0" borderId="23" xfId="8" applyBorder="1"/>
    <xf numFmtId="0" fontId="63" fillId="0" borderId="38" xfId="8" applyFont="1" applyBorder="1"/>
    <xf numFmtId="0" fontId="4" fillId="0" borderId="39" xfId="8" applyBorder="1"/>
    <xf numFmtId="0" fontId="4" fillId="0" borderId="38" xfId="8" applyBorder="1"/>
    <xf numFmtId="0" fontId="9" fillId="3" borderId="0" xfId="8" applyFont="1" applyFill="1" applyAlignment="1">
      <alignment horizontal="left"/>
    </xf>
    <xf numFmtId="0" fontId="9" fillId="3" borderId="0" xfId="8" applyFont="1" applyFill="1" applyAlignment="1">
      <alignment horizontal="center"/>
    </xf>
    <xf numFmtId="164" fontId="9" fillId="3" borderId="0" xfId="5" applyNumberFormat="1" applyFont="1" applyFill="1" applyBorder="1"/>
    <xf numFmtId="0" fontId="64" fillId="0" borderId="0" xfId="8" applyFont="1" applyAlignment="1">
      <alignment horizontal="center" vertical="top"/>
    </xf>
    <xf numFmtId="164" fontId="4" fillId="0" borderId="0" xfId="5" applyNumberFormat="1" applyFont="1"/>
    <xf numFmtId="0" fontId="4" fillId="0" borderId="0" xfId="8" quotePrefix="1"/>
    <xf numFmtId="0" fontId="65" fillId="0" borderId="0" xfId="8" applyFont="1"/>
    <xf numFmtId="164" fontId="4" fillId="0" borderId="0" xfId="5" applyNumberFormat="1" applyFont="1" applyFill="1"/>
    <xf numFmtId="0" fontId="4" fillId="0" borderId="38" xfId="8" applyBorder="1" applyAlignment="1">
      <alignment vertical="top"/>
    </xf>
    <xf numFmtId="0" fontId="6" fillId="0" borderId="0" xfId="8" applyFont="1" applyAlignment="1">
      <alignment horizontal="left" vertical="top"/>
    </xf>
    <xf numFmtId="0" fontId="4" fillId="0" borderId="39" xfId="8" applyBorder="1" applyAlignment="1">
      <alignment vertical="top"/>
    </xf>
    <xf numFmtId="164" fontId="4" fillId="0" borderId="0" xfId="5" applyNumberFormat="1" applyFont="1" applyFill="1" applyAlignment="1">
      <alignment vertical="top"/>
    </xf>
    <xf numFmtId="0" fontId="9" fillId="3" borderId="26" xfId="8" applyFont="1" applyFill="1" applyBorder="1" applyAlignment="1">
      <alignment horizontal="left" vertical="top"/>
    </xf>
    <xf numFmtId="0" fontId="9" fillId="3" borderId="26" xfId="8" applyFont="1" applyFill="1" applyBorder="1" applyAlignment="1">
      <alignment horizontal="center" vertical="top" wrapText="1"/>
    </xf>
    <xf numFmtId="164" fontId="9" fillId="3" borderId="26" xfId="5" applyNumberFormat="1" applyFont="1" applyFill="1" applyBorder="1" applyAlignment="1">
      <alignment horizontal="center" vertical="top"/>
    </xf>
    <xf numFmtId="0" fontId="9" fillId="3" borderId="26" xfId="8" applyFont="1" applyFill="1" applyBorder="1" applyAlignment="1">
      <alignment horizontal="center" vertical="top"/>
    </xf>
    <xf numFmtId="164" fontId="4" fillId="3" borderId="26" xfId="5" applyNumberFormat="1" applyFont="1" applyFill="1" applyBorder="1" applyAlignment="1">
      <alignment vertical="top"/>
    </xf>
    <xf numFmtId="164" fontId="9" fillId="0" borderId="26" xfId="5" applyNumberFormat="1" applyFont="1" applyFill="1" applyBorder="1" applyAlignment="1">
      <alignment vertical="top"/>
    </xf>
    <xf numFmtId="0" fontId="9" fillId="3" borderId="26" xfId="8" applyFont="1" applyFill="1" applyBorder="1" applyAlignment="1">
      <alignment vertical="top" wrapText="1"/>
    </xf>
    <xf numFmtId="0" fontId="9" fillId="3" borderId="37" xfId="8" applyFont="1" applyFill="1" applyBorder="1" applyAlignment="1">
      <alignment horizontal="left" vertical="top" indent="2"/>
    </xf>
    <xf numFmtId="0" fontId="9" fillId="3" borderId="37" xfId="8" applyFont="1" applyFill="1" applyBorder="1" applyAlignment="1">
      <alignment horizontal="center" vertical="top" wrapText="1"/>
    </xf>
    <xf numFmtId="0" fontId="9" fillId="3" borderId="37" xfId="8" applyFont="1" applyFill="1" applyBorder="1" applyAlignment="1">
      <alignment horizontal="center" vertical="top"/>
    </xf>
    <xf numFmtId="0" fontId="9" fillId="3" borderId="37" xfId="8" applyFont="1" applyFill="1" applyBorder="1" applyAlignment="1">
      <alignment vertical="top" wrapText="1"/>
    </xf>
    <xf numFmtId="164" fontId="4" fillId="0" borderId="0" xfId="8" applyNumberFormat="1" applyAlignment="1">
      <alignment vertical="top"/>
    </xf>
    <xf numFmtId="0" fontId="9" fillId="3" borderId="31" xfId="8" applyFont="1" applyFill="1" applyBorder="1" applyAlignment="1">
      <alignment horizontal="left" vertical="top" indent="2"/>
    </xf>
    <xf numFmtId="0" fontId="9" fillId="3" borderId="31" xfId="5" applyNumberFormat="1" applyFont="1" applyFill="1" applyBorder="1" applyAlignment="1">
      <alignment horizontal="center" vertical="top"/>
    </xf>
    <xf numFmtId="0" fontId="9" fillId="3" borderId="31" xfId="8" applyFont="1" applyFill="1" applyBorder="1" applyAlignment="1">
      <alignment horizontal="center" vertical="top"/>
    </xf>
    <xf numFmtId="0" fontId="9" fillId="3" borderId="31" xfId="8" applyFont="1" applyFill="1" applyBorder="1" applyAlignment="1">
      <alignment vertical="top" wrapText="1"/>
    </xf>
    <xf numFmtId="0" fontId="9" fillId="3" borderId="29" xfId="8" applyFont="1" applyFill="1" applyBorder="1" applyAlignment="1">
      <alignment horizontal="left" vertical="top" indent="2"/>
    </xf>
    <xf numFmtId="0" fontId="9" fillId="3" borderId="26" xfId="5" applyNumberFormat="1" applyFont="1" applyFill="1" applyBorder="1" applyAlignment="1">
      <alignment horizontal="center" vertical="top"/>
    </xf>
    <xf numFmtId="0" fontId="9" fillId="3" borderId="37" xfId="8" applyFont="1" applyFill="1" applyBorder="1" applyAlignment="1">
      <alignment horizontal="left" vertical="top" wrapText="1"/>
    </xf>
    <xf numFmtId="164" fontId="9" fillId="3" borderId="37" xfId="5" applyNumberFormat="1" applyFont="1" applyFill="1" applyBorder="1" applyAlignment="1">
      <alignment horizontal="center" vertical="top"/>
    </xf>
    <xf numFmtId="0" fontId="9" fillId="3" borderId="33" xfId="8" applyFont="1" applyFill="1" applyBorder="1" applyAlignment="1">
      <alignment horizontal="left" vertical="top" indent="2"/>
    </xf>
    <xf numFmtId="0" fontId="9" fillId="3" borderId="33" xfId="8" applyFont="1" applyFill="1" applyBorder="1" applyAlignment="1">
      <alignment horizontal="center"/>
    </xf>
    <xf numFmtId="0" fontId="9" fillId="3" borderId="37" xfId="8" applyFont="1" applyFill="1" applyBorder="1"/>
    <xf numFmtId="0" fontId="9" fillId="3" borderId="35" xfId="8" applyFont="1" applyFill="1" applyBorder="1" applyAlignment="1">
      <alignment horizontal="left" indent="2"/>
    </xf>
    <xf numFmtId="0" fontId="9" fillId="3" borderId="35" xfId="8" applyFont="1" applyFill="1" applyBorder="1" applyAlignment="1">
      <alignment horizontal="center"/>
    </xf>
    <xf numFmtId="0" fontId="9" fillId="3" borderId="31" xfId="8" applyFont="1" applyFill="1" applyBorder="1"/>
    <xf numFmtId="0" fontId="9" fillId="3" borderId="29" xfId="8" applyFont="1" applyFill="1" applyBorder="1"/>
    <xf numFmtId="0" fontId="9" fillId="3" borderId="29" xfId="8" applyFont="1" applyFill="1" applyBorder="1" applyAlignment="1">
      <alignment horizontal="left" indent="2"/>
    </xf>
    <xf numFmtId="0" fontId="9" fillId="3" borderId="29" xfId="8" applyFont="1" applyFill="1" applyBorder="1" applyAlignment="1">
      <alignment horizontal="center"/>
    </xf>
    <xf numFmtId="0" fontId="9" fillId="3" borderId="29" xfId="8" quotePrefix="1" applyFont="1" applyFill="1" applyBorder="1" applyAlignment="1">
      <alignment horizontal="center"/>
    </xf>
    <xf numFmtId="0" fontId="4" fillId="0" borderId="11" xfId="8" applyBorder="1"/>
    <xf numFmtId="0" fontId="4" fillId="0" borderId="1" xfId="8" applyBorder="1"/>
    <xf numFmtId="0" fontId="4" fillId="0" borderId="1" xfId="8" applyBorder="1" applyAlignment="1">
      <alignment horizontal="right"/>
    </xf>
    <xf numFmtId="0" fontId="4" fillId="0" borderId="12" xfId="8" applyBorder="1"/>
    <xf numFmtId="43" fontId="4" fillId="0" borderId="0" xfId="5" applyFont="1"/>
    <xf numFmtId="43" fontId="4" fillId="0" borderId="0" xfId="5" applyFont="1" applyBorder="1"/>
    <xf numFmtId="0" fontId="3" fillId="0" borderId="0" xfId="8" applyFont="1" applyAlignment="1">
      <alignment horizontal="centerContinuous"/>
    </xf>
    <xf numFmtId="0" fontId="66" fillId="8" borderId="0" xfId="8" applyFont="1" applyFill="1" applyAlignment="1">
      <alignment horizontal="center"/>
    </xf>
    <xf numFmtId="0" fontId="67" fillId="8" borderId="0" xfId="8" applyFont="1" applyFill="1"/>
    <xf numFmtId="0" fontId="67" fillId="8" borderId="0" xfId="8" applyFont="1" applyFill="1" applyAlignment="1">
      <alignment horizontal="center"/>
    </xf>
    <xf numFmtId="0" fontId="67" fillId="8" borderId="0" xfId="5" applyNumberFormat="1" applyFont="1" applyFill="1" applyAlignment="1">
      <alignment horizontal="center"/>
    </xf>
    <xf numFmtId="0" fontId="68" fillId="0" borderId="0" xfId="8" applyFont="1" applyAlignment="1">
      <alignment horizontal="right"/>
    </xf>
    <xf numFmtId="164" fontId="0" fillId="0" borderId="0" xfId="5" applyNumberFormat="1" applyFont="1" applyFill="1" applyAlignment="1"/>
    <xf numFmtId="0" fontId="9" fillId="0" borderId="0" xfId="8" applyFont="1" applyAlignment="1">
      <alignment horizontal="center" vertical="top"/>
    </xf>
    <xf numFmtId="0" fontId="4" fillId="0" borderId="0" xfId="8" applyAlignment="1">
      <alignment horizontal="left" vertical="center"/>
    </xf>
    <xf numFmtId="0" fontId="4" fillId="0" borderId="0" xfId="8" applyAlignment="1">
      <alignment horizontal="center" vertical="center"/>
    </xf>
    <xf numFmtId="37" fontId="4" fillId="3" borderId="0" xfId="5" applyNumberFormat="1" applyFont="1" applyFill="1" applyAlignment="1">
      <alignment vertical="center" wrapText="1"/>
    </xf>
    <xf numFmtId="0" fontId="4" fillId="0" borderId="0" xfId="8" applyAlignment="1">
      <alignment horizontal="center" vertical="top"/>
    </xf>
    <xf numFmtId="37" fontId="9" fillId="3" borderId="0" xfId="5" applyNumberFormat="1" applyFont="1" applyFill="1" applyAlignment="1">
      <alignment vertical="center" wrapText="1"/>
    </xf>
    <xf numFmtId="0" fontId="4" fillId="0" borderId="0" xfId="8" applyAlignment="1">
      <alignment vertical="center"/>
    </xf>
    <xf numFmtId="0" fontId="69" fillId="0" borderId="0" xfId="8" applyFont="1" applyAlignment="1">
      <alignment horizontal="center" vertical="center"/>
    </xf>
    <xf numFmtId="0" fontId="52" fillId="0" borderId="18" xfId="8" applyFont="1" applyBorder="1" applyAlignment="1">
      <alignment horizontal="left" indent="1"/>
    </xf>
    <xf numFmtId="37" fontId="52" fillId="0" borderId="18" xfId="5" applyNumberFormat="1" applyFont="1" applyFill="1" applyBorder="1" applyAlignment="1">
      <alignment wrapText="1"/>
    </xf>
    <xf numFmtId="164" fontId="4" fillId="0" borderId="0" xfId="5" applyNumberFormat="1" applyFill="1" applyBorder="1" applyAlignment="1">
      <alignment wrapText="1"/>
    </xf>
    <xf numFmtId="0" fontId="9" fillId="0" borderId="0" xfId="8" applyFont="1" applyAlignment="1">
      <alignment horizontal="center" vertical="center"/>
    </xf>
    <xf numFmtId="0" fontId="4" fillId="0" borderId="0" xfId="8" applyAlignment="1">
      <alignment horizontal="center" vertical="center" wrapText="1"/>
    </xf>
    <xf numFmtId="37" fontId="0" fillId="3" borderId="0" xfId="5" applyNumberFormat="1" applyFont="1" applyFill="1" applyAlignment="1">
      <alignment vertical="center"/>
    </xf>
    <xf numFmtId="37" fontId="9" fillId="3" borderId="0" xfId="5" applyNumberFormat="1" applyFont="1" applyFill="1" applyAlignment="1">
      <alignment vertical="center"/>
    </xf>
    <xf numFmtId="0" fontId="4" fillId="0" borderId="0" xfId="8" applyAlignment="1">
      <alignment vertical="center" wrapText="1"/>
    </xf>
    <xf numFmtId="37" fontId="9" fillId="5" borderId="0" xfId="5" applyNumberFormat="1" applyFont="1" applyFill="1" applyAlignment="1">
      <alignment vertical="center"/>
    </xf>
    <xf numFmtId="0" fontId="52" fillId="0" borderId="18" xfId="8" applyFont="1" applyBorder="1" applyAlignment="1">
      <alignment horizontal="left" vertical="center"/>
    </xf>
    <xf numFmtId="0" fontId="4" fillId="0" borderId="18" xfId="8" applyBorder="1" applyAlignment="1">
      <alignment horizontal="center" vertical="center"/>
    </xf>
    <xf numFmtId="37" fontId="52" fillId="0" borderId="18" xfId="8" applyNumberFormat="1" applyFont="1" applyBorder="1" applyAlignment="1">
      <alignment vertical="center"/>
    </xf>
    <xf numFmtId="164" fontId="4" fillId="0" borderId="0" xfId="5" applyNumberFormat="1" applyFill="1" applyAlignment="1"/>
    <xf numFmtId="37" fontId="52" fillId="0" borderId="19" xfId="5" applyNumberFormat="1" applyFont="1" applyFill="1" applyBorder="1" applyAlignment="1"/>
    <xf numFmtId="164" fontId="4" fillId="0" borderId="0" xfId="5" applyNumberFormat="1" applyFont="1" applyFill="1" applyBorder="1" applyAlignment="1"/>
    <xf numFmtId="0" fontId="4" fillId="0" borderId="1" xfId="8" applyBorder="1" applyAlignment="1">
      <alignment horizontal="center"/>
    </xf>
    <xf numFmtId="164" fontId="4" fillId="0" borderId="1" xfId="5" applyNumberFormat="1" applyFont="1" applyFill="1" applyBorder="1" applyAlignment="1"/>
    <xf numFmtId="0" fontId="69" fillId="0" borderId="0" xfId="8" applyFont="1"/>
    <xf numFmtId="0" fontId="9" fillId="3" borderId="0" xfId="8" applyFont="1" applyFill="1"/>
    <xf numFmtId="37" fontId="9" fillId="3" borderId="0" xfId="8" applyNumberFormat="1" applyFont="1" applyFill="1"/>
    <xf numFmtId="37" fontId="9" fillId="3" borderId="20" xfId="8" applyNumberFormat="1" applyFont="1" applyFill="1" applyBorder="1"/>
    <xf numFmtId="0" fontId="4" fillId="0" borderId="0" xfId="8" applyAlignment="1">
      <alignment horizontal="left" indent="1"/>
    </xf>
    <xf numFmtId="10" fontId="0" fillId="0" borderId="20" xfId="3" applyNumberFormat="1" applyFont="1" applyFill="1" applyBorder="1"/>
    <xf numFmtId="0" fontId="52" fillId="0" borderId="0" xfId="8" applyFont="1" applyAlignment="1">
      <alignment horizontal="left" indent="1"/>
    </xf>
    <xf numFmtId="37" fontId="9" fillId="5" borderId="20" xfId="5" applyNumberFormat="1" applyFont="1" applyFill="1" applyBorder="1"/>
    <xf numFmtId="0" fontId="70" fillId="8" borderId="0" xfId="8" applyFont="1" applyFill="1"/>
    <xf numFmtId="0" fontId="66" fillId="8" borderId="0" xfId="8" applyFont="1" applyFill="1"/>
    <xf numFmtId="164" fontId="66" fillId="8" borderId="0" xfId="5" applyNumberFormat="1" applyFont="1" applyFill="1" applyBorder="1" applyAlignment="1"/>
    <xf numFmtId="0" fontId="4" fillId="0" borderId="0" xfId="8" applyAlignment="1">
      <alignment vertical="top" wrapText="1"/>
    </xf>
    <xf numFmtId="0" fontId="58" fillId="0" borderId="0" xfId="8" applyFont="1"/>
    <xf numFmtId="164" fontId="4" fillId="0" borderId="0" xfId="5" applyNumberFormat="1" applyFont="1" applyFill="1" applyAlignment="1"/>
    <xf numFmtId="0" fontId="71" fillId="0" borderId="0" xfId="8" applyFont="1" applyAlignment="1">
      <alignment vertical="center" wrapText="1"/>
    </xf>
    <xf numFmtId="0" fontId="13" fillId="0" borderId="0" xfId="8" applyFont="1" applyAlignment="1">
      <alignment vertical="center" wrapText="1"/>
    </xf>
    <xf numFmtId="164" fontId="0" fillId="0" borderId="1" xfId="5" applyNumberFormat="1" applyFont="1" applyFill="1" applyBorder="1" applyAlignment="1"/>
    <xf numFmtId="0" fontId="72" fillId="0" borderId="0" xfId="8" applyFont="1"/>
    <xf numFmtId="164" fontId="0" fillId="0" borderId="0" xfId="5" applyNumberFormat="1" applyFont="1" applyFill="1" applyBorder="1" applyAlignment="1"/>
    <xf numFmtId="0" fontId="7" fillId="0" borderId="0" xfId="0" applyFont="1" applyAlignment="1">
      <alignment horizontal="centerContinuous"/>
    </xf>
    <xf numFmtId="0" fontId="4" fillId="0" borderId="0" xfId="0" applyFont="1" applyAlignment="1">
      <alignment horizontal="centerContinuous"/>
    </xf>
    <xf numFmtId="0" fontId="58" fillId="0" borderId="0" xfId="0" applyFont="1"/>
    <xf numFmtId="10" fontId="20" fillId="0" borderId="0" xfId="3" applyNumberFormat="1" applyFont="1" applyFill="1"/>
    <xf numFmtId="0" fontId="15" fillId="4" borderId="0" xfId="0" applyFont="1" applyFill="1"/>
    <xf numFmtId="0" fontId="3" fillId="0" borderId="0" xfId="0" applyFont="1" applyAlignment="1">
      <alignment wrapText="1"/>
    </xf>
    <xf numFmtId="10" fontId="3" fillId="0" borderId="0" xfId="3" applyNumberFormat="1" applyFont="1" applyFill="1" applyAlignment="1">
      <alignment horizontal="center"/>
    </xf>
    <xf numFmtId="10" fontId="3" fillId="0" borderId="0" xfId="3" applyNumberFormat="1" applyFont="1" applyFill="1" applyAlignment="1">
      <alignment horizontal="right"/>
    </xf>
    <xf numFmtId="3" fontId="7" fillId="0" borderId="19" xfId="0" applyNumberFormat="1" applyFont="1" applyBorder="1"/>
    <xf numFmtId="0" fontId="16" fillId="4" borderId="0" xfId="0" applyFont="1" applyFill="1" applyAlignment="1">
      <alignment horizontal="left"/>
    </xf>
    <xf numFmtId="3" fontId="49" fillId="0" borderId="0" xfId="0" applyNumberFormat="1" applyFont="1"/>
    <xf numFmtId="38" fontId="3" fillId="0" borderId="20" xfId="0" applyNumberFormat="1" applyFont="1" applyBorder="1"/>
    <xf numFmtId="3" fontId="3" fillId="0" borderId="20" xfId="0" applyNumberFormat="1" applyFont="1" applyBorder="1" applyAlignment="1">
      <alignment horizontal="center"/>
    </xf>
    <xf numFmtId="170" fontId="3" fillId="0" borderId="20" xfId="0" applyNumberFormat="1" applyFont="1" applyBorder="1" applyAlignment="1">
      <alignment horizontal="center"/>
    </xf>
    <xf numFmtId="3" fontId="19" fillId="0" borderId="18" xfId="0" applyNumberFormat="1" applyFont="1" applyBorder="1" applyAlignment="1">
      <alignment horizontal="right"/>
    </xf>
    <xf numFmtId="3" fontId="24" fillId="0" borderId="0" xfId="0" applyNumberFormat="1" applyFont="1"/>
    <xf numFmtId="10" fontId="31" fillId="0" borderId="0" xfId="0" applyNumberFormat="1" applyFont="1" applyAlignment="1">
      <alignment horizontal="right"/>
    </xf>
    <xf numFmtId="37" fontId="7" fillId="0" borderId="19" xfId="5" applyNumberFormat="1" applyFont="1" applyFill="1" applyBorder="1" applyAlignment="1">
      <alignment horizontal="right"/>
    </xf>
    <xf numFmtId="179" fontId="3" fillId="0" borderId="0" xfId="3" applyNumberFormat="1" applyFont="1" applyFill="1" applyAlignment="1">
      <alignment horizontal="right"/>
    </xf>
    <xf numFmtId="0" fontId="3" fillId="0" borderId="0" xfId="0" applyFont="1" applyAlignment="1">
      <alignment horizontal="centerContinuous"/>
    </xf>
    <xf numFmtId="0" fontId="31" fillId="0" borderId="0" xfId="0" applyFont="1" applyAlignment="1">
      <alignment horizontal="centerContinuous"/>
    </xf>
    <xf numFmtId="0" fontId="31" fillId="0" borderId="0" xfId="12" applyFont="1" applyAlignment="1">
      <alignment horizontal="left"/>
    </xf>
    <xf numFmtId="0" fontId="3" fillId="0" borderId="0" xfId="12" applyFont="1"/>
    <xf numFmtId="0" fontId="4" fillId="0" borderId="0" xfId="12" applyFont="1"/>
    <xf numFmtId="0" fontId="8" fillId="0" borderId="0" xfId="12" applyFont="1" applyAlignment="1">
      <alignment horizontal="left"/>
    </xf>
    <xf numFmtId="43" fontId="4" fillId="0" borderId="0" xfId="5" applyFont="1" applyFill="1" applyBorder="1"/>
    <xf numFmtId="0" fontId="17" fillId="9" borderId="40" xfId="12" applyFont="1" applyFill="1" applyBorder="1" applyAlignment="1">
      <alignment horizontal="center" wrapText="1"/>
    </xf>
    <xf numFmtId="0" fontId="17" fillId="9" borderId="41" xfId="12" applyFont="1" applyFill="1" applyBorder="1" applyAlignment="1">
      <alignment horizontal="center" wrapText="1"/>
    </xf>
    <xf numFmtId="0" fontId="17" fillId="9" borderId="41" xfId="12" applyFont="1" applyFill="1" applyBorder="1"/>
    <xf numFmtId="0" fontId="17" fillId="9" borderId="42" xfId="12" applyFont="1" applyFill="1" applyBorder="1"/>
    <xf numFmtId="0" fontId="52" fillId="0" borderId="0" xfId="12" applyFont="1"/>
    <xf numFmtId="0" fontId="3" fillId="0" borderId="38" xfId="12" applyFont="1" applyBorder="1"/>
    <xf numFmtId="0" fontId="3" fillId="0" borderId="0" xfId="12" applyFont="1" applyAlignment="1">
      <alignment horizontal="center"/>
    </xf>
    <xf numFmtId="0" fontId="23" fillId="0" borderId="0" xfId="12" applyFont="1" applyAlignment="1">
      <alignment horizontal="left"/>
    </xf>
    <xf numFmtId="0" fontId="3" fillId="0" borderId="39" xfId="12" applyFont="1" applyBorder="1" applyAlignment="1">
      <alignment horizontal="right"/>
    </xf>
    <xf numFmtId="0" fontId="31" fillId="0" borderId="38" xfId="12" applyFont="1" applyBorder="1"/>
    <xf numFmtId="0" fontId="3" fillId="0" borderId="39" xfId="12" applyFont="1" applyBorder="1" applyAlignment="1">
      <alignment horizontal="center" wrapText="1"/>
    </xf>
    <xf numFmtId="0" fontId="20" fillId="0" borderId="0" xfId="12" applyFont="1" applyAlignment="1">
      <alignment horizontal="center"/>
    </xf>
    <xf numFmtId="3" fontId="3" fillId="0" borderId="0" xfId="12" applyNumberFormat="1" applyFont="1"/>
    <xf numFmtId="1" fontId="3" fillId="3" borderId="0" xfId="12" applyNumberFormat="1" applyFont="1" applyFill="1" applyAlignment="1">
      <alignment horizontal="center"/>
    </xf>
    <xf numFmtId="37" fontId="20" fillId="3" borderId="39" xfId="13" applyNumberFormat="1" applyFont="1" applyFill="1" applyBorder="1" applyAlignment="1">
      <alignment horizontal="right"/>
    </xf>
    <xf numFmtId="164" fontId="3" fillId="0" borderId="38" xfId="5" applyNumberFormat="1" applyFont="1" applyFill="1" applyBorder="1" applyAlignment="1">
      <alignment horizontal="right"/>
    </xf>
    <xf numFmtId="0" fontId="51" fillId="0" borderId="0" xfId="12" applyFont="1"/>
    <xf numFmtId="0" fontId="3" fillId="0" borderId="0" xfId="12" applyFont="1" applyAlignment="1">
      <alignment horizontal="left"/>
    </xf>
    <xf numFmtId="0" fontId="3" fillId="0" borderId="38" xfId="12" applyFont="1" applyBorder="1" applyAlignment="1">
      <alignment horizontal="right"/>
    </xf>
    <xf numFmtId="43" fontId="3" fillId="0" borderId="39" xfId="5" applyFont="1" applyFill="1" applyBorder="1" applyAlignment="1">
      <alignment horizontal="center" wrapText="1"/>
    </xf>
    <xf numFmtId="43" fontId="4" fillId="0" borderId="0" xfId="12" applyNumberFormat="1" applyFont="1"/>
    <xf numFmtId="3" fontId="3" fillId="0" borderId="38" xfId="12" applyNumberFormat="1" applyFont="1" applyBorder="1" applyAlignment="1">
      <alignment horizontal="right"/>
    </xf>
    <xf numFmtId="0" fontId="3" fillId="0" borderId="0" xfId="12" applyFont="1" applyAlignment="1">
      <alignment horizontal="center" wrapText="1"/>
    </xf>
    <xf numFmtId="43" fontId="3" fillId="0" borderId="39" xfId="5" applyFont="1" applyFill="1" applyBorder="1" applyAlignment="1"/>
    <xf numFmtId="0" fontId="3" fillId="0" borderId="20" xfId="12" applyFont="1" applyBorder="1" applyAlignment="1">
      <alignment horizontal="left"/>
    </xf>
    <xf numFmtId="3" fontId="3" fillId="0" borderId="20" xfId="12" applyNumberFormat="1" applyFont="1" applyBorder="1"/>
    <xf numFmtId="1" fontId="3" fillId="3" borderId="20" xfId="12" applyNumberFormat="1" applyFont="1" applyFill="1" applyBorder="1" applyAlignment="1">
      <alignment horizontal="center"/>
    </xf>
    <xf numFmtId="37" fontId="20" fillId="3" borderId="43" xfId="13" applyNumberFormat="1" applyFont="1" applyFill="1" applyBorder="1" applyAlignment="1">
      <alignment horizontal="right"/>
    </xf>
    <xf numFmtId="166" fontId="74" fillId="0" borderId="0" xfId="3" quotePrefix="1" applyNumberFormat="1" applyFont="1" applyFill="1" applyBorder="1" applyAlignment="1">
      <alignment horizontal="left" vertical="top" wrapText="1"/>
    </xf>
    <xf numFmtId="0" fontId="7" fillId="0" borderId="0" xfId="12" applyFont="1" applyAlignment="1">
      <alignment horizontal="left"/>
    </xf>
    <xf numFmtId="0" fontId="3" fillId="3" borderId="0" xfId="12" applyFont="1" applyFill="1"/>
    <xf numFmtId="37" fontId="3" fillId="0" borderId="0" xfId="12" applyNumberFormat="1" applyFont="1" applyAlignment="1">
      <alignment horizontal="center"/>
    </xf>
    <xf numFmtId="3" fontId="3" fillId="3" borderId="0" xfId="12" applyNumberFormat="1" applyFont="1" applyFill="1" applyAlignment="1">
      <alignment horizontal="center"/>
    </xf>
    <xf numFmtId="37" fontId="7" fillId="0" borderId="39" xfId="13" applyNumberFormat="1" applyFont="1" applyFill="1" applyBorder="1" applyAlignment="1">
      <alignment horizontal="right"/>
    </xf>
    <xf numFmtId="164" fontId="3" fillId="0" borderId="38" xfId="12" applyNumberFormat="1" applyFont="1" applyBorder="1"/>
    <xf numFmtId="164" fontId="3" fillId="0" borderId="0" xfId="5" applyNumberFormat="1" applyFont="1" applyFill="1"/>
    <xf numFmtId="164" fontId="3" fillId="0" borderId="39" xfId="5" applyNumberFormat="1" applyFont="1" applyFill="1" applyBorder="1" applyAlignment="1"/>
    <xf numFmtId="43" fontId="52" fillId="0" borderId="0" xfId="12" applyNumberFormat="1" applyFont="1"/>
    <xf numFmtId="0" fontId="19" fillId="0" borderId="0" xfId="12" applyFont="1" applyAlignment="1">
      <alignment horizontal="center"/>
    </xf>
    <xf numFmtId="37" fontId="3" fillId="0" borderId="39" xfId="12" applyNumberFormat="1" applyFont="1" applyBorder="1" applyAlignment="1">
      <alignment horizontal="left"/>
    </xf>
    <xf numFmtId="164" fontId="3" fillId="0" borderId="0" xfId="5" applyNumberFormat="1" applyFont="1" applyFill="1" applyBorder="1" applyAlignment="1">
      <alignment horizontal="center" wrapText="1"/>
    </xf>
    <xf numFmtId="37" fontId="3" fillId="0" borderId="0" xfId="12" applyNumberFormat="1" applyFont="1" applyAlignment="1">
      <alignment horizontal="right"/>
    </xf>
    <xf numFmtId="43" fontId="75" fillId="0" borderId="0" xfId="5" applyFont="1" applyFill="1" applyBorder="1"/>
    <xf numFmtId="0" fontId="1" fillId="0" borderId="0" xfId="14" applyAlignment="1">
      <alignment horizontal="center" wrapText="1"/>
    </xf>
    <xf numFmtId="164" fontId="4" fillId="0" borderId="0" xfId="5" applyNumberFormat="1" applyFont="1" applyFill="1" applyBorder="1"/>
    <xf numFmtId="164" fontId="3" fillId="0" borderId="0" xfId="5" applyNumberFormat="1" applyFont="1" applyFill="1" applyBorder="1" applyAlignment="1"/>
    <xf numFmtId="0" fontId="3" fillId="0" borderId="39" xfId="12" applyFont="1" applyBorder="1"/>
    <xf numFmtId="37" fontId="3" fillId="0" borderId="39" xfId="13" applyNumberFormat="1" applyFont="1" applyFill="1" applyBorder="1" applyAlignment="1">
      <alignment horizontal="right"/>
    </xf>
    <xf numFmtId="164" fontId="3" fillId="0" borderId="0" xfId="5" quotePrefix="1" applyNumberFormat="1" applyFont="1" applyFill="1" applyBorder="1" applyAlignment="1">
      <alignment vertical="top" wrapText="1"/>
    </xf>
    <xf numFmtId="3" fontId="19" fillId="0" borderId="0" xfId="12" applyNumberFormat="1" applyFont="1" applyAlignment="1">
      <alignment horizontal="center"/>
    </xf>
    <xf numFmtId="0" fontId="74" fillId="0" borderId="0" xfId="12" quotePrefix="1" applyFont="1" applyAlignment="1">
      <alignment vertical="top" wrapText="1"/>
    </xf>
    <xf numFmtId="164" fontId="3" fillId="0" borderId="0" xfId="5" applyNumberFormat="1" applyFont="1" applyFill="1" applyBorder="1" applyAlignment="1">
      <alignment wrapText="1"/>
    </xf>
    <xf numFmtId="164" fontId="3" fillId="0" borderId="38" xfId="12" applyNumberFormat="1" applyFont="1" applyBorder="1" applyAlignment="1">
      <alignment horizontal="right"/>
    </xf>
    <xf numFmtId="0" fontId="3" fillId="0" borderId="38" xfId="12" applyFont="1" applyBorder="1" applyAlignment="1">
      <alignment horizontal="center"/>
    </xf>
    <xf numFmtId="37" fontId="3" fillId="0" borderId="39" xfId="12" applyNumberFormat="1" applyFont="1" applyBorder="1"/>
    <xf numFmtId="0" fontId="3" fillId="0" borderId="0" xfId="12" applyFont="1" applyAlignment="1">
      <alignment horizontal="right"/>
    </xf>
    <xf numFmtId="1" fontId="19" fillId="0" borderId="0" xfId="12" applyNumberFormat="1" applyFont="1" applyAlignment="1">
      <alignment horizontal="center"/>
    </xf>
    <xf numFmtId="164" fontId="3" fillId="0" borderId="0" xfId="13" applyNumberFormat="1" applyFont="1" applyFill="1" applyBorder="1" applyAlignment="1">
      <alignment horizontal="right"/>
    </xf>
    <xf numFmtId="164" fontId="3" fillId="0" borderId="38" xfId="13" applyNumberFormat="1" applyFont="1" applyFill="1" applyBorder="1" applyAlignment="1">
      <alignment horizontal="right"/>
    </xf>
    <xf numFmtId="43" fontId="3" fillId="0" borderId="39" xfId="12" applyNumberFormat="1" applyFont="1" applyBorder="1" applyAlignment="1">
      <alignment horizontal="center" wrapText="1"/>
    </xf>
    <xf numFmtId="0" fontId="7" fillId="0" borderId="18" xfId="12" applyFont="1" applyBorder="1" applyAlignment="1">
      <alignment horizontal="left"/>
    </xf>
    <xf numFmtId="3" fontId="3" fillId="0" borderId="18" xfId="12" applyNumberFormat="1" applyFont="1" applyBorder="1"/>
    <xf numFmtId="37" fontId="3" fillId="0" borderId="18" xfId="12" applyNumberFormat="1" applyFont="1" applyBorder="1" applyAlignment="1">
      <alignment horizontal="center"/>
    </xf>
    <xf numFmtId="3" fontId="3" fillId="3" borderId="18" xfId="12" applyNumberFormat="1" applyFont="1" applyFill="1" applyBorder="1" applyAlignment="1">
      <alignment horizontal="center"/>
    </xf>
    <xf numFmtId="37" fontId="7" fillId="0" borderId="44" xfId="13" applyNumberFormat="1" applyFont="1" applyBorder="1" applyAlignment="1">
      <alignment horizontal="right"/>
    </xf>
    <xf numFmtId="0" fontId="3" fillId="0" borderId="11" xfId="12" applyFont="1" applyBorder="1" applyAlignment="1">
      <alignment horizontal="center"/>
    </xf>
    <xf numFmtId="0" fontId="3" fillId="0" borderId="1" xfId="12" applyFont="1" applyBorder="1" applyAlignment="1">
      <alignment horizontal="center"/>
    </xf>
    <xf numFmtId="0" fontId="3" fillId="0" borderId="1" xfId="12" applyFont="1" applyBorder="1" applyAlignment="1">
      <alignment horizontal="left"/>
    </xf>
    <xf numFmtId="0" fontId="3" fillId="0" borderId="1" xfId="12" applyFont="1" applyBorder="1"/>
    <xf numFmtId="0" fontId="19" fillId="0" borderId="1" xfId="12" applyFont="1" applyBorder="1" applyAlignment="1">
      <alignment horizontal="center"/>
    </xf>
    <xf numFmtId="0" fontId="3" fillId="0" borderId="12" xfId="12" applyFont="1" applyBorder="1" applyAlignment="1">
      <alignment horizontal="left"/>
    </xf>
    <xf numFmtId="164" fontId="3" fillId="0" borderId="11" xfId="13" applyNumberFormat="1" applyFont="1" applyFill="1" applyBorder="1" applyAlignment="1">
      <alignment horizontal="right"/>
    </xf>
    <xf numFmtId="0" fontId="3" fillId="0" borderId="1" xfId="12" applyFont="1" applyBorder="1" applyAlignment="1">
      <alignment horizontal="center" wrapText="1"/>
    </xf>
    <xf numFmtId="0" fontId="3" fillId="0" borderId="12" xfId="12" applyFont="1" applyBorder="1" applyAlignment="1">
      <alignment horizontal="center" wrapText="1"/>
    </xf>
    <xf numFmtId="0" fontId="17" fillId="9" borderId="40" xfId="0" applyFont="1" applyFill="1" applyBorder="1" applyAlignment="1">
      <alignment horizontal="center" wrapText="1"/>
    </xf>
    <xf numFmtId="0" fontId="17" fillId="9" borderId="41" xfId="0" applyFont="1" applyFill="1" applyBorder="1"/>
    <xf numFmtId="0" fontId="66" fillId="9" borderId="41" xfId="0" applyFont="1" applyFill="1" applyBorder="1"/>
    <xf numFmtId="0" fontId="66" fillId="9" borderId="42" xfId="0" applyFont="1" applyFill="1" applyBorder="1"/>
    <xf numFmtId="37" fontId="3" fillId="0" borderId="39" xfId="12" applyNumberFormat="1" applyFont="1" applyBorder="1" applyAlignment="1">
      <alignment horizontal="right"/>
    </xf>
    <xf numFmtId="3" fontId="3" fillId="0" borderId="0" xfId="12" applyNumberFormat="1" applyFont="1" applyAlignment="1">
      <alignment horizontal="right" wrapText="1"/>
    </xf>
    <xf numFmtId="4" fontId="3" fillId="0" borderId="0" xfId="12" applyNumberFormat="1" applyFont="1" applyAlignment="1">
      <alignment horizontal="center" wrapText="1"/>
    </xf>
    <xf numFmtId="4" fontId="3" fillId="0" borderId="0" xfId="12" applyNumberFormat="1" applyFont="1"/>
    <xf numFmtId="37" fontId="3" fillId="0" borderId="38" xfId="12" applyNumberFormat="1" applyFont="1" applyBorder="1"/>
    <xf numFmtId="0" fontId="4" fillId="0" borderId="39" xfId="12" applyFont="1" applyBorder="1"/>
    <xf numFmtId="0" fontId="3" fillId="0" borderId="0" xfId="12" applyFont="1" applyAlignment="1">
      <alignment horizontal="right" wrapText="1"/>
    </xf>
    <xf numFmtId="43" fontId="3" fillId="0" borderId="0" xfId="5" applyFont="1" applyFill="1" applyBorder="1" applyAlignment="1">
      <alignment horizontal="right" wrapText="1"/>
    </xf>
    <xf numFmtId="37" fontId="7" fillId="0" borderId="39" xfId="12" applyNumberFormat="1" applyFont="1" applyBorder="1"/>
    <xf numFmtId="37" fontId="3" fillId="0" borderId="39" xfId="13" applyNumberFormat="1" applyFont="1" applyBorder="1" applyAlignment="1">
      <alignment horizontal="right"/>
    </xf>
    <xf numFmtId="0" fontId="3" fillId="0" borderId="4" xfId="12" applyFont="1" applyBorder="1" applyAlignment="1">
      <alignment horizontal="center"/>
    </xf>
    <xf numFmtId="0" fontId="3" fillId="0" borderId="4" xfId="12" applyFont="1" applyBorder="1" applyAlignment="1">
      <alignment horizontal="left"/>
    </xf>
    <xf numFmtId="0" fontId="3" fillId="0" borderId="4" xfId="12" applyFont="1" applyBorder="1"/>
    <xf numFmtId="0" fontId="19" fillId="0" borderId="4" xfId="12" applyFont="1" applyBorder="1" applyAlignment="1">
      <alignment horizontal="center"/>
    </xf>
    <xf numFmtId="164" fontId="3" fillId="0" borderId="4" xfId="13" applyNumberFormat="1" applyFont="1" applyFill="1" applyBorder="1" applyAlignment="1">
      <alignment horizontal="right"/>
    </xf>
    <xf numFmtId="0" fontId="3" fillId="0" borderId="4" xfId="12" applyFont="1" applyBorder="1" applyAlignment="1">
      <alignment horizontal="center" wrapText="1"/>
    </xf>
    <xf numFmtId="0" fontId="8" fillId="0" borderId="0" xfId="0" applyFont="1" applyAlignment="1">
      <alignment horizontal="left"/>
    </xf>
    <xf numFmtId="164" fontId="3" fillId="0" borderId="1" xfId="13" applyNumberFormat="1" applyFont="1" applyFill="1" applyBorder="1" applyAlignment="1">
      <alignment horizontal="right"/>
    </xf>
    <xf numFmtId="0" fontId="17" fillId="9" borderId="41" xfId="0" applyFont="1" applyFill="1" applyBorder="1" applyAlignment="1">
      <alignment horizontal="center" wrapText="1"/>
    </xf>
    <xf numFmtId="0" fontId="17" fillId="9" borderId="42" xfId="0" applyFont="1" applyFill="1" applyBorder="1"/>
    <xf numFmtId="0" fontId="3" fillId="0" borderId="39" xfId="12" applyFont="1" applyBorder="1" applyAlignment="1">
      <alignment horizontal="left"/>
    </xf>
    <xf numFmtId="0" fontId="4" fillId="0" borderId="38" xfId="12" applyFont="1" applyBorder="1"/>
    <xf numFmtId="0" fontId="3" fillId="0" borderId="39" xfId="0" applyFont="1" applyBorder="1" applyAlignment="1">
      <alignment horizontal="left"/>
    </xf>
    <xf numFmtId="37" fontId="3" fillId="5" borderId="0" xfId="13" applyNumberFormat="1" applyFont="1" applyFill="1" applyBorder="1" applyAlignment="1">
      <alignment horizontal="right"/>
    </xf>
    <xf numFmtId="0" fontId="3" fillId="0" borderId="43" xfId="0" applyFont="1" applyBorder="1" applyAlignment="1">
      <alignment horizontal="left"/>
    </xf>
    <xf numFmtId="3" fontId="3" fillId="3" borderId="39" xfId="0" applyNumberFormat="1" applyFont="1" applyFill="1" applyBorder="1"/>
    <xf numFmtId="37" fontId="7" fillId="0" borderId="45" xfId="13" applyNumberFormat="1" applyFont="1" applyFill="1" applyBorder="1" applyAlignment="1">
      <alignment horizontal="right"/>
    </xf>
    <xf numFmtId="0" fontId="4" fillId="3" borderId="0" xfId="12" applyFont="1" applyFill="1"/>
    <xf numFmtId="3" fontId="3" fillId="0" borderId="39" xfId="0" applyNumberFormat="1" applyFont="1" applyBorder="1"/>
    <xf numFmtId="37" fontId="3" fillId="0" borderId="0" xfId="13" applyNumberFormat="1" applyFont="1" applyFill="1" applyBorder="1" applyAlignment="1">
      <alignment horizontal="right"/>
    </xf>
    <xf numFmtId="3" fontId="3" fillId="0" borderId="43" xfId="0" applyNumberFormat="1" applyFont="1" applyBorder="1"/>
    <xf numFmtId="164" fontId="3" fillId="0" borderId="0" xfId="12" applyNumberFormat="1" applyFont="1" applyAlignment="1">
      <alignment horizontal="center"/>
    </xf>
    <xf numFmtId="0" fontId="4" fillId="0" borderId="0" xfId="12" applyFont="1" applyAlignment="1">
      <alignment horizontal="center"/>
    </xf>
    <xf numFmtId="0" fontId="4" fillId="0" borderId="0" xfId="12" applyFont="1" applyAlignment="1">
      <alignment horizontal="left"/>
    </xf>
    <xf numFmtId="0" fontId="60" fillId="0" borderId="0" xfId="12" applyFont="1" applyAlignment="1">
      <alignment horizontal="center"/>
    </xf>
    <xf numFmtId="164" fontId="4" fillId="0" borderId="0" xfId="13" applyNumberFormat="1" applyFill="1" applyBorder="1" applyAlignment="1">
      <alignment horizontal="right"/>
    </xf>
    <xf numFmtId="0" fontId="4" fillId="0" borderId="0" xfId="12" applyFont="1" applyAlignment="1">
      <alignment horizontal="center" wrapText="1"/>
    </xf>
    <xf numFmtId="0" fontId="15" fillId="9" borderId="41" xfId="0" applyFont="1" applyFill="1" applyBorder="1" applyAlignment="1">
      <alignment horizontal="center" wrapText="1"/>
    </xf>
    <xf numFmtId="0" fontId="3" fillId="0" borderId="38" xfId="0" applyFont="1" applyBorder="1" applyAlignment="1">
      <alignment horizontal="center"/>
    </xf>
    <xf numFmtId="0" fontId="3" fillId="0" borderId="39" xfId="0" applyFont="1" applyBorder="1"/>
    <xf numFmtId="3" fontId="3" fillId="0" borderId="38" xfId="0" applyNumberFormat="1" applyFont="1" applyBorder="1" applyAlignment="1">
      <alignment horizontal="center"/>
    </xf>
    <xf numFmtId="0" fontId="3" fillId="0" borderId="0" xfId="0" applyFont="1" applyAlignment="1">
      <alignment horizontal="left" wrapText="1"/>
    </xf>
    <xf numFmtId="0" fontId="3" fillId="0" borderId="39" xfId="0" applyFont="1" applyBorder="1" applyAlignment="1">
      <alignment horizontal="left" wrapText="1"/>
    </xf>
    <xf numFmtId="0" fontId="3" fillId="0" borderId="38" xfId="0" applyFont="1" applyBorder="1"/>
    <xf numFmtId="0" fontId="3" fillId="0" borderId="39" xfId="0" applyFont="1" applyBorder="1" applyAlignment="1">
      <alignment horizontal="center"/>
    </xf>
    <xf numFmtId="3" fontId="3" fillId="0" borderId="0" xfId="0" applyNumberFormat="1" applyFont="1" applyAlignment="1">
      <alignment horizontal="center" wrapText="1"/>
    </xf>
    <xf numFmtId="0" fontId="20" fillId="3" borderId="39" xfId="0" applyFont="1" applyFill="1" applyBorder="1"/>
    <xf numFmtId="10" fontId="3" fillId="0" borderId="0" xfId="3" applyNumberFormat="1" applyFont="1" applyFill="1" applyBorder="1" applyAlignment="1">
      <alignment horizontal="center"/>
    </xf>
    <xf numFmtId="37" fontId="7" fillId="0" borderId="26" xfId="0" applyNumberFormat="1" applyFont="1" applyBorder="1" applyAlignment="1">
      <alignment horizontal="center"/>
    </xf>
    <xf numFmtId="0" fontId="20" fillId="0" borderId="39" xfId="0" applyFont="1" applyBorder="1" applyAlignment="1">
      <alignment horizontal="center"/>
    </xf>
    <xf numFmtId="37" fontId="7" fillId="0" borderId="0" xfId="0" applyNumberFormat="1" applyFont="1" applyAlignment="1">
      <alignment horizontal="center"/>
    </xf>
    <xf numFmtId="0" fontId="20" fillId="3" borderId="39" xfId="0" quotePrefix="1" applyFont="1" applyFill="1" applyBorder="1"/>
    <xf numFmtId="0" fontId="20" fillId="0" borderId="0" xfId="0" applyFont="1" applyAlignment="1">
      <alignment horizontal="center"/>
    </xf>
    <xf numFmtId="0" fontId="3" fillId="0" borderId="44" xfId="0" applyFont="1" applyBorder="1"/>
    <xf numFmtId="37" fontId="3" fillId="0" borderId="18" xfId="0" applyNumberFormat="1" applyFont="1" applyBorder="1" applyAlignment="1">
      <alignment horizontal="center"/>
    </xf>
    <xf numFmtId="10" fontId="3" fillId="0" borderId="0" xfId="3" quotePrefix="1" applyNumberFormat="1" applyFont="1" applyFill="1" applyBorder="1" applyAlignment="1">
      <alignment horizontal="center"/>
    </xf>
    <xf numFmtId="0" fontId="3" fillId="0" borderId="11" xfId="0" applyFont="1" applyBorder="1" applyAlignment="1">
      <alignment horizontal="center"/>
    </xf>
    <xf numFmtId="0" fontId="3" fillId="0" borderId="1" xfId="0" applyFont="1" applyBorder="1" applyAlignment="1">
      <alignment horizontal="right"/>
    </xf>
    <xf numFmtId="0" fontId="3" fillId="0" borderId="1" xfId="0" applyFont="1" applyBorder="1" applyAlignment="1">
      <alignment horizontal="left"/>
    </xf>
    <xf numFmtId="0" fontId="19" fillId="0" borderId="1" xfId="0" applyFont="1" applyBorder="1" applyAlignment="1">
      <alignment horizontal="center"/>
    </xf>
    <xf numFmtId="0" fontId="3" fillId="0" borderId="12" xfId="0" applyFont="1" applyBorder="1"/>
    <xf numFmtId="3" fontId="3" fillId="0" borderId="11" xfId="0" applyNumberFormat="1" applyFont="1" applyBorder="1" applyAlignment="1">
      <alignment horizontal="center"/>
    </xf>
    <xf numFmtId="3" fontId="3" fillId="0" borderId="1" xfId="0" applyNumberFormat="1" applyFont="1" applyBorder="1" applyAlignment="1">
      <alignment horizontal="center"/>
    </xf>
    <xf numFmtId="0" fontId="17" fillId="9" borderId="41" xfId="0" applyFont="1" applyFill="1" applyBorder="1" applyAlignment="1">
      <alignment wrapText="1"/>
    </xf>
    <xf numFmtId="0" fontId="17" fillId="9" borderId="42" xfId="0" applyFont="1" applyFill="1" applyBorder="1" applyAlignment="1">
      <alignment wrapText="1"/>
    </xf>
    <xf numFmtId="0" fontId="3" fillId="0" borderId="45" xfId="0" applyFont="1" applyBorder="1"/>
    <xf numFmtId="3" fontId="3" fillId="0" borderId="39" xfId="0" applyNumberFormat="1" applyFont="1" applyBorder="1" applyAlignment="1">
      <alignment vertical="center" wrapText="1"/>
    </xf>
    <xf numFmtId="37" fontId="3" fillId="5" borderId="0" xfId="13" applyNumberFormat="1" applyFont="1" applyFill="1" applyBorder="1" applyAlignment="1">
      <alignment horizontal="center"/>
    </xf>
    <xf numFmtId="37" fontId="7" fillId="3" borderId="0" xfId="0" applyNumberFormat="1" applyFont="1" applyFill="1" applyAlignment="1">
      <alignment horizontal="center"/>
    </xf>
    <xf numFmtId="37" fontId="3" fillId="3" borderId="0" xfId="0" applyNumberFormat="1" applyFont="1" applyFill="1" applyAlignment="1">
      <alignment horizontal="center"/>
    </xf>
    <xf numFmtId="0" fontId="76" fillId="0" borderId="0" xfId="0" applyFont="1"/>
    <xf numFmtId="37" fontId="3" fillId="5" borderId="0" xfId="0" applyNumberFormat="1" applyFont="1" applyFill="1" applyAlignment="1">
      <alignment horizontal="center"/>
    </xf>
    <xf numFmtId="3" fontId="3" fillId="3" borderId="44" xfId="0" applyNumberFormat="1" applyFont="1" applyFill="1" applyBorder="1"/>
    <xf numFmtId="37" fontId="7" fillId="0" borderId="26" xfId="13" applyNumberFormat="1" applyFont="1" applyFill="1" applyBorder="1" applyAlignment="1">
      <alignment horizontal="center"/>
    </xf>
    <xf numFmtId="0" fontId="3" fillId="0" borderId="39" xfId="0" applyFont="1" applyBorder="1" applyAlignment="1">
      <alignment wrapText="1"/>
    </xf>
    <xf numFmtId="0" fontId="3" fillId="0" borderId="12" xfId="0" applyFont="1" applyBorder="1" applyAlignment="1">
      <alignment horizontal="left"/>
    </xf>
    <xf numFmtId="3" fontId="7" fillId="0" borderId="1" xfId="0" applyNumberFormat="1" applyFont="1" applyBorder="1" applyAlignment="1">
      <alignment horizontal="center"/>
    </xf>
    <xf numFmtId="0" fontId="7" fillId="0" borderId="44" xfId="0" applyFont="1" applyBorder="1"/>
    <xf numFmtId="3" fontId="3" fillId="0" borderId="38" xfId="0" applyNumberFormat="1" applyFont="1" applyBorder="1" applyAlignment="1">
      <alignment horizontal="right"/>
    </xf>
    <xf numFmtId="0" fontId="7" fillId="0" borderId="0" xfId="0" applyFont="1" applyAlignment="1">
      <alignment horizontal="center" wrapText="1"/>
    </xf>
    <xf numFmtId="0" fontId="3" fillId="0" borderId="39" xfId="0" applyFont="1" applyBorder="1" applyAlignment="1">
      <alignment horizontal="center" wrapText="1"/>
    </xf>
    <xf numFmtId="0" fontId="8" fillId="3" borderId="0" xfId="0" applyFont="1" applyFill="1" applyAlignment="1">
      <alignment horizontal="left"/>
    </xf>
    <xf numFmtId="0" fontId="3" fillId="3" borderId="0" xfId="0" applyFont="1" applyFill="1"/>
    <xf numFmtId="3" fontId="3" fillId="3" borderId="0" xfId="0" applyNumberFormat="1" applyFont="1" applyFill="1" applyAlignment="1">
      <alignment horizontal="center"/>
    </xf>
    <xf numFmtId="37" fontId="3" fillId="3" borderId="38" xfId="0" applyNumberFormat="1" applyFont="1" applyFill="1" applyBorder="1"/>
    <xf numFmtId="0" fontId="20" fillId="3" borderId="0" xfId="0" applyFont="1" applyFill="1" applyAlignment="1">
      <alignment horizontal="left"/>
    </xf>
    <xf numFmtId="0" fontId="20" fillId="3" borderId="0" xfId="0" applyFont="1" applyFill="1" applyAlignment="1">
      <alignment horizontal="left" indent="1"/>
    </xf>
    <xf numFmtId="37" fontId="20" fillId="3" borderId="39" xfId="0" applyNumberFormat="1" applyFont="1" applyFill="1" applyBorder="1" applyAlignment="1">
      <alignment horizontal="right"/>
    </xf>
    <xf numFmtId="37" fontId="20" fillId="3" borderId="38" xfId="0" applyNumberFormat="1" applyFont="1" applyFill="1" applyBorder="1" applyAlignment="1">
      <alignment horizontal="right"/>
    </xf>
    <xf numFmtId="0" fontId="3" fillId="0" borderId="18" xfId="0" applyFont="1" applyBorder="1" applyAlignment="1">
      <alignment horizontal="left" indent="2"/>
    </xf>
    <xf numFmtId="37" fontId="3" fillId="0" borderId="45" xfId="0" applyNumberFormat="1" applyFont="1" applyBorder="1"/>
    <xf numFmtId="0" fontId="20" fillId="0" borderId="0" xfId="8" applyFont="1" applyAlignment="1">
      <alignment horizontal="right"/>
    </xf>
    <xf numFmtId="0" fontId="20" fillId="0" borderId="0" xfId="8" applyFont="1"/>
    <xf numFmtId="0" fontId="3" fillId="0" borderId="0" xfId="0" applyFont="1" applyAlignment="1">
      <alignment horizontal="left" indent="1"/>
    </xf>
    <xf numFmtId="37" fontId="3" fillId="0" borderId="38" xfId="0" applyNumberFormat="1" applyFont="1" applyBorder="1" applyAlignment="1">
      <alignment horizontal="right"/>
    </xf>
    <xf numFmtId="0" fontId="3" fillId="0" borderId="39" xfId="0" quotePrefix="1" applyFont="1" applyBorder="1"/>
    <xf numFmtId="37" fontId="3" fillId="0" borderId="38" xfId="0" applyNumberFormat="1" applyFont="1" applyBorder="1"/>
    <xf numFmtId="37" fontId="20" fillId="5" borderId="0" xfId="0" applyNumberFormat="1" applyFont="1" applyFill="1" applyAlignment="1">
      <alignment horizontal="right"/>
    </xf>
    <xf numFmtId="0" fontId="3" fillId="0" borderId="43" xfId="0" applyFont="1" applyBorder="1"/>
    <xf numFmtId="37" fontId="3" fillId="3" borderId="0" xfId="0" applyNumberFormat="1" applyFont="1" applyFill="1" applyAlignment="1">
      <alignment horizontal="right"/>
    </xf>
    <xf numFmtId="3" fontId="3" fillId="3" borderId="45" xfId="12" applyNumberFormat="1" applyFont="1" applyFill="1" applyBorder="1" applyAlignment="1">
      <alignment horizontal="center"/>
    </xf>
    <xf numFmtId="0" fontId="3" fillId="0" borderId="0" xfId="0" quotePrefix="1" applyFont="1"/>
    <xf numFmtId="0" fontId="20" fillId="3" borderId="43" xfId="0" applyFont="1" applyFill="1" applyBorder="1"/>
    <xf numFmtId="37" fontId="3" fillId="0" borderId="46" xfId="0" applyNumberFormat="1" applyFont="1" applyBorder="1"/>
    <xf numFmtId="37" fontId="3" fillId="5" borderId="20" xfId="0" applyNumberFormat="1" applyFont="1" applyFill="1" applyBorder="1" applyAlignment="1">
      <alignment horizontal="right"/>
    </xf>
    <xf numFmtId="0" fontId="24" fillId="0" borderId="11" xfId="0" applyFont="1" applyBorder="1" applyAlignment="1">
      <alignment horizontal="left"/>
    </xf>
    <xf numFmtId="0" fontId="3" fillId="0" borderId="12" xfId="0" applyFont="1" applyBorder="1" applyAlignment="1">
      <alignment horizontal="center"/>
    </xf>
    <xf numFmtId="3" fontId="19" fillId="0" borderId="0" xfId="0" applyNumberFormat="1" applyFont="1" applyAlignment="1">
      <alignment horizontal="center"/>
    </xf>
    <xf numFmtId="0" fontId="7" fillId="0" borderId="38" xfId="0" applyFont="1" applyBorder="1" applyAlignment="1">
      <alignment horizontal="center"/>
    </xf>
    <xf numFmtId="0" fontId="3" fillId="0" borderId="38" xfId="0" applyFont="1" applyBorder="1" applyAlignment="1">
      <alignment horizontal="left"/>
    </xf>
    <xf numFmtId="164" fontId="7" fillId="0" borderId="38" xfId="5" applyNumberFormat="1" applyFont="1" applyFill="1" applyBorder="1" applyAlignment="1">
      <alignment horizontal="center"/>
    </xf>
    <xf numFmtId="164" fontId="3" fillId="0" borderId="0" xfId="5" applyNumberFormat="1" applyFont="1" applyFill="1" applyBorder="1" applyAlignment="1">
      <alignment horizontal="center"/>
    </xf>
    <xf numFmtId="164" fontId="7" fillId="0" borderId="0" xfId="5" applyNumberFormat="1" applyFont="1" applyFill="1" applyBorder="1" applyAlignment="1">
      <alignment horizontal="center"/>
    </xf>
    <xf numFmtId="164" fontId="3" fillId="0" borderId="0" xfId="5" applyNumberFormat="1" applyFont="1" applyFill="1" applyBorder="1"/>
    <xf numFmtId="0" fontId="3" fillId="3" borderId="0" xfId="0" applyFont="1" applyFill="1" applyAlignment="1">
      <alignment horizontal="left" indent="1"/>
    </xf>
    <xf numFmtId="37" fontId="20" fillId="3" borderId="0" xfId="5" applyNumberFormat="1" applyFont="1" applyFill="1" applyBorder="1" applyAlignment="1"/>
    <xf numFmtId="37" fontId="8" fillId="3" borderId="0" xfId="5" applyNumberFormat="1" applyFont="1" applyFill="1" applyBorder="1" applyAlignment="1"/>
    <xf numFmtId="0" fontId="7" fillId="0" borderId="18" xfId="0" applyFont="1" applyBorder="1" applyAlignment="1">
      <alignment horizontal="left" indent="1"/>
    </xf>
    <xf numFmtId="0" fontId="3" fillId="0" borderId="44" xfId="0" applyFont="1" applyBorder="1" applyAlignment="1">
      <alignment horizontal="center"/>
    </xf>
    <xf numFmtId="37" fontId="3" fillId="0" borderId="45" xfId="5" applyNumberFormat="1" applyFont="1" applyFill="1" applyBorder="1" applyAlignment="1"/>
    <xf numFmtId="37" fontId="7" fillId="0" borderId="26" xfId="5" applyNumberFormat="1" applyFont="1" applyFill="1" applyBorder="1" applyAlignment="1"/>
    <xf numFmtId="37" fontId="3" fillId="0" borderId="18" xfId="5" applyNumberFormat="1" applyFont="1" applyFill="1" applyBorder="1" applyAlignment="1"/>
    <xf numFmtId="0" fontId="3" fillId="0" borderId="11" xfId="0" applyFont="1" applyBorder="1"/>
    <xf numFmtId="0" fontId="20" fillId="3" borderId="39" xfId="0" applyFont="1" applyFill="1" applyBorder="1" applyAlignment="1">
      <alignment horizontal="left"/>
    </xf>
    <xf numFmtId="37" fontId="8" fillId="3" borderId="26" xfId="5" applyNumberFormat="1" applyFont="1" applyFill="1" applyBorder="1" applyAlignment="1"/>
    <xf numFmtId="37" fontId="3" fillId="3" borderId="0" xfId="5" applyNumberFormat="1" applyFont="1" applyFill="1" applyBorder="1" applyAlignment="1"/>
    <xf numFmtId="164" fontId="20" fillId="3" borderId="0" xfId="5" applyNumberFormat="1" applyFont="1" applyFill="1" applyBorder="1" applyAlignment="1"/>
    <xf numFmtId="164" fontId="3" fillId="0" borderId="1" xfId="5" applyNumberFormat="1" applyFont="1" applyFill="1" applyBorder="1" applyAlignment="1">
      <alignment horizontal="center"/>
    </xf>
    <xf numFmtId="164" fontId="3" fillId="0" borderId="1" xfId="5" applyNumberFormat="1" applyFont="1" applyFill="1" applyBorder="1" applyAlignment="1">
      <alignment horizontal="center" wrapText="1"/>
    </xf>
    <xf numFmtId="164" fontId="3" fillId="0" borderId="12" xfId="5" applyNumberFormat="1" applyFont="1" applyFill="1" applyBorder="1" applyAlignment="1">
      <alignment horizontal="center" wrapText="1"/>
    </xf>
    <xf numFmtId="0" fontId="19" fillId="0" borderId="0" xfId="0" applyFont="1"/>
    <xf numFmtId="37" fontId="3" fillId="3" borderId="0" xfId="0" applyNumberFormat="1" applyFont="1" applyFill="1"/>
    <xf numFmtId="164" fontId="20" fillId="3" borderId="0" xfId="0" applyNumberFormat="1" applyFont="1" applyFill="1"/>
    <xf numFmtId="0" fontId="19" fillId="0" borderId="1" xfId="0" applyFont="1" applyBorder="1"/>
    <xf numFmtId="164" fontId="3" fillId="0" borderId="1" xfId="0" applyNumberFormat="1" applyFont="1" applyBorder="1" applyAlignment="1">
      <alignment horizontal="center"/>
    </xf>
    <xf numFmtId="164" fontId="3" fillId="0" borderId="1" xfId="0" applyNumberFormat="1" applyFont="1" applyBorder="1" applyAlignment="1">
      <alignment horizontal="center" wrapText="1"/>
    </xf>
    <xf numFmtId="164" fontId="3" fillId="0" borderId="12" xfId="0" applyNumberFormat="1" applyFont="1" applyBorder="1" applyAlignment="1">
      <alignment horizontal="center" wrapText="1"/>
    </xf>
    <xf numFmtId="10" fontId="3" fillId="5" borderId="0" xfId="3" applyNumberFormat="1" applyFont="1" applyFill="1" applyBorder="1" applyAlignment="1">
      <alignment horizontal="center"/>
    </xf>
    <xf numFmtId="168" fontId="3" fillId="0" borderId="0" xfId="3" applyNumberFormat="1" applyFont="1" applyFill="1" applyBorder="1" applyAlignment="1">
      <alignment horizontal="left"/>
    </xf>
    <xf numFmtId="0" fontId="31" fillId="0" borderId="0" xfId="0" applyFont="1"/>
    <xf numFmtId="43" fontId="3" fillId="0" borderId="0" xfId="5" applyFont="1" applyFill="1" applyBorder="1" applyAlignment="1">
      <alignment horizontal="center"/>
    </xf>
    <xf numFmtId="3" fontId="20" fillId="3" borderId="39" xfId="0" applyNumberFormat="1" applyFont="1" applyFill="1" applyBorder="1" applyAlignment="1">
      <alignment horizontal="left"/>
    </xf>
    <xf numFmtId="37" fontId="7" fillId="0" borderId="26" xfId="0" applyNumberFormat="1" applyFont="1" applyBorder="1" applyAlignment="1">
      <alignment horizontal="right"/>
    </xf>
    <xf numFmtId="0" fontId="24" fillId="0" borderId="0" xfId="0" applyFont="1" applyAlignment="1">
      <alignment horizontal="left"/>
    </xf>
    <xf numFmtId="3" fontId="20" fillId="0" borderId="39" xfId="0" applyNumberFormat="1" applyFont="1" applyBorder="1" applyAlignment="1">
      <alignment horizontal="left"/>
    </xf>
    <xf numFmtId="3" fontId="20" fillId="0" borderId="44" xfId="0" applyNumberFormat="1" applyFont="1" applyBorder="1" applyAlignment="1">
      <alignment horizontal="left" indent="1"/>
    </xf>
    <xf numFmtId="37" fontId="20" fillId="3" borderId="34" xfId="0" applyNumberFormat="1" applyFont="1" applyFill="1" applyBorder="1"/>
    <xf numFmtId="0" fontId="31" fillId="0" borderId="1" xfId="0" applyFont="1" applyBorder="1"/>
    <xf numFmtId="37" fontId="7" fillId="5" borderId="0" xfId="5" applyNumberFormat="1" applyFont="1" applyFill="1" applyBorder="1" applyAlignment="1"/>
    <xf numFmtId="164" fontId="3" fillId="0" borderId="1" xfId="5" applyNumberFormat="1" applyFont="1" applyFill="1" applyBorder="1" applyAlignment="1"/>
    <xf numFmtId="0" fontId="3" fillId="0" borderId="1" xfId="0" applyFont="1" applyBorder="1" applyAlignment="1">
      <alignment horizontal="center" wrapText="1"/>
    </xf>
    <xf numFmtId="0" fontId="3" fillId="0" borderId="12" xfId="0" applyFont="1" applyBorder="1" applyAlignment="1">
      <alignment horizontal="center" wrapText="1"/>
    </xf>
    <xf numFmtId="37" fontId="3" fillId="5" borderId="0" xfId="5" applyNumberFormat="1" applyFont="1" applyFill="1" applyBorder="1" applyAlignment="1"/>
    <xf numFmtId="164" fontId="3" fillId="0" borderId="1" xfId="0" applyNumberFormat="1" applyFont="1" applyBorder="1"/>
    <xf numFmtId="0" fontId="17" fillId="9" borderId="40" xfId="0" applyFont="1" applyFill="1" applyBorder="1"/>
    <xf numFmtId="0" fontId="20" fillId="0" borderId="0" xfId="0" applyFont="1"/>
    <xf numFmtId="37" fontId="3" fillId="5" borderId="38" xfId="5" applyNumberFormat="1" applyFont="1" applyFill="1" applyBorder="1"/>
    <xf numFmtId="0" fontId="3" fillId="0" borderId="18" xfId="0" applyFont="1" applyBorder="1" applyAlignment="1">
      <alignment horizontal="left" indent="1"/>
    </xf>
    <xf numFmtId="37" fontId="7" fillId="0" borderId="45" xfId="0" applyNumberFormat="1" applyFont="1" applyBorder="1" applyAlignment="1">
      <alignment horizontal="right"/>
    </xf>
    <xf numFmtId="3" fontId="3" fillId="0" borderId="38" xfId="0" applyNumberFormat="1" applyFont="1" applyBorder="1"/>
    <xf numFmtId="0" fontId="19" fillId="0" borderId="18" xfId="0" applyFont="1" applyBorder="1" applyAlignment="1">
      <alignment horizontal="center"/>
    </xf>
    <xf numFmtId="0" fontId="3" fillId="0" borderId="44" xfId="0" applyFont="1" applyBorder="1" applyAlignment="1">
      <alignment horizontal="left" indent="1"/>
    </xf>
    <xf numFmtId="37" fontId="7" fillId="0" borderId="18" xfId="5" applyNumberFormat="1" applyFont="1" applyFill="1" applyBorder="1" applyAlignment="1"/>
    <xf numFmtId="0" fontId="7" fillId="0" borderId="0" xfId="4" applyFont="1" applyAlignment="1">
      <alignment horizontal="centerContinuous"/>
    </xf>
    <xf numFmtId="0" fontId="2" fillId="0" borderId="0" xfId="4" applyFont="1" applyAlignment="1">
      <alignment horizontal="centerContinuous"/>
    </xf>
    <xf numFmtId="0" fontId="4" fillId="0" borderId="0" xfId="4" applyAlignment="1">
      <alignment horizontal="centerContinuous"/>
    </xf>
    <xf numFmtId="0" fontId="77" fillId="0" borderId="0" xfId="4" applyFont="1" applyAlignment="1">
      <alignment horizontal="centerContinuous"/>
    </xf>
    <xf numFmtId="0" fontId="69" fillId="0" borderId="0" xfId="4" applyFont="1" applyAlignment="1">
      <alignment horizontal="centerContinuous"/>
    </xf>
    <xf numFmtId="0" fontId="4" fillId="0" borderId="0" xfId="4" applyAlignment="1">
      <alignment horizontal="center"/>
    </xf>
    <xf numFmtId="0" fontId="78" fillId="0" borderId="0" xfId="4" applyFont="1"/>
    <xf numFmtId="0" fontId="14" fillId="0" borderId="0" xfId="4" applyFont="1"/>
    <xf numFmtId="0" fontId="52" fillId="0" borderId="0" xfId="4" applyFont="1" applyAlignment="1">
      <alignment horizontal="left"/>
    </xf>
    <xf numFmtId="0" fontId="14" fillId="0" borderId="0" xfId="4" applyFont="1" applyAlignment="1">
      <alignment horizontal="center"/>
    </xf>
    <xf numFmtId="0" fontId="79" fillId="0" borderId="0" xfId="4" applyFont="1" applyAlignment="1">
      <alignment horizontal="center"/>
    </xf>
    <xf numFmtId="0" fontId="79" fillId="0" borderId="0" xfId="4" applyFont="1"/>
    <xf numFmtId="0" fontId="14" fillId="0" borderId="0" xfId="4" applyFont="1" applyAlignment="1">
      <alignment horizontal="left"/>
    </xf>
    <xf numFmtId="16" fontId="14" fillId="0" borderId="0" xfId="4" applyNumberFormat="1" applyFont="1" applyAlignment="1">
      <alignment horizontal="center"/>
    </xf>
    <xf numFmtId="164" fontId="14" fillId="0" borderId="0" xfId="5" applyNumberFormat="1" applyFont="1"/>
    <xf numFmtId="180" fontId="14" fillId="3" borderId="0" xfId="15" applyNumberFormat="1" applyFont="1" applyFill="1"/>
    <xf numFmtId="0" fontId="80" fillId="0" borderId="0" xfId="4" applyFont="1" applyAlignment="1">
      <alignment horizontal="left"/>
    </xf>
    <xf numFmtId="0" fontId="81" fillId="0" borderId="0" xfId="4" applyFont="1" applyAlignment="1">
      <alignment horizontal="center"/>
    </xf>
    <xf numFmtId="0" fontId="14" fillId="0" borderId="0" xfId="15" applyNumberFormat="1" applyFont="1" applyFill="1" applyAlignment="1">
      <alignment horizontal="left"/>
    </xf>
    <xf numFmtId="0" fontId="14" fillId="0" borderId="33" xfId="16" applyFont="1" applyBorder="1" applyAlignment="1">
      <alignment horizontal="center"/>
    </xf>
    <xf numFmtId="0" fontId="14" fillId="0" borderId="18" xfId="16" applyFont="1" applyBorder="1" applyAlignment="1">
      <alignment horizontal="center"/>
    </xf>
    <xf numFmtId="0" fontId="14" fillId="0" borderId="37" xfId="16" applyFont="1" applyBorder="1" applyAlignment="1">
      <alignment horizontal="center"/>
    </xf>
    <xf numFmtId="0" fontId="14" fillId="0" borderId="37" xfId="4" applyFont="1" applyBorder="1" applyAlignment="1">
      <alignment horizontal="center"/>
    </xf>
    <xf numFmtId="0" fontId="14" fillId="0" borderId="33" xfId="4" applyFont="1" applyBorder="1" applyAlignment="1">
      <alignment horizontal="center"/>
    </xf>
    <xf numFmtId="0" fontId="14" fillId="0" borderId="18" xfId="4" applyFont="1" applyBorder="1" applyAlignment="1">
      <alignment horizontal="center"/>
    </xf>
    <xf numFmtId="0" fontId="14" fillId="0" borderId="34" xfId="4" applyFont="1" applyBorder="1" applyAlignment="1">
      <alignment horizontal="center"/>
    </xf>
    <xf numFmtId="0" fontId="14" fillId="0" borderId="35" xfId="4" applyFont="1" applyBorder="1" applyAlignment="1">
      <alignment horizontal="center"/>
    </xf>
    <xf numFmtId="0" fontId="14" fillId="0" borderId="31" xfId="4" applyFont="1" applyBorder="1" applyAlignment="1">
      <alignment horizontal="center"/>
    </xf>
    <xf numFmtId="0" fontId="82" fillId="3" borderId="35" xfId="4" applyFont="1" applyFill="1" applyBorder="1" applyAlignment="1">
      <alignment horizontal="center"/>
    </xf>
    <xf numFmtId="0" fontId="82" fillId="3" borderId="0" xfId="4" applyFont="1" applyFill="1" applyAlignment="1">
      <alignment horizontal="center"/>
    </xf>
    <xf numFmtId="0" fontId="82" fillId="3" borderId="32" xfId="4" applyFont="1" applyFill="1" applyBorder="1" applyAlignment="1">
      <alignment horizontal="center"/>
    </xf>
    <xf numFmtId="0" fontId="14" fillId="0" borderId="32" xfId="4" applyFont="1" applyBorder="1" applyAlignment="1">
      <alignment horizontal="center"/>
    </xf>
    <xf numFmtId="0" fontId="82" fillId="3" borderId="31" xfId="4" applyFont="1" applyFill="1" applyBorder="1" applyAlignment="1">
      <alignment horizontal="center"/>
    </xf>
    <xf numFmtId="0" fontId="14" fillId="0" borderId="0" xfId="4" applyFont="1" applyAlignment="1">
      <alignment wrapText="1"/>
    </xf>
    <xf numFmtId="164" fontId="14" fillId="3" borderId="35" xfId="4" applyNumberFormat="1" applyFont="1" applyFill="1" applyBorder="1" applyAlignment="1">
      <alignment horizontal="center"/>
    </xf>
    <xf numFmtId="164" fontId="14" fillId="3" borderId="0" xfId="5" applyNumberFormat="1" applyFont="1" applyFill="1" applyBorder="1" applyAlignment="1">
      <alignment horizontal="center"/>
    </xf>
    <xf numFmtId="164" fontId="14" fillId="3" borderId="31" xfId="5" applyNumberFormat="1" applyFont="1" applyFill="1" applyBorder="1" applyAlignment="1">
      <alignment horizontal="center"/>
    </xf>
    <xf numFmtId="164" fontId="82" fillId="3" borderId="31" xfId="5" applyNumberFormat="1" applyFont="1" applyFill="1" applyBorder="1" applyAlignment="1">
      <alignment horizontal="center"/>
    </xf>
    <xf numFmtId="0" fontId="82" fillId="0" borderId="0" xfId="4" applyFont="1" applyAlignment="1">
      <alignment horizontal="center"/>
    </xf>
    <xf numFmtId="164" fontId="14" fillId="0" borderId="35" xfId="4" applyNumberFormat="1" applyFont="1" applyBorder="1"/>
    <xf numFmtId="164" fontId="14" fillId="0" borderId="0" xfId="4" applyNumberFormat="1" applyFont="1"/>
    <xf numFmtId="43" fontId="14" fillId="0" borderId="35" xfId="5" applyFont="1" applyFill="1" applyBorder="1"/>
    <xf numFmtId="164" fontId="14" fillId="0" borderId="32" xfId="5" applyNumberFormat="1" applyFont="1" applyFill="1" applyBorder="1"/>
    <xf numFmtId="164" fontId="14" fillId="5" borderId="0" xfId="5" applyNumberFormat="1" applyFont="1" applyFill="1" applyBorder="1" applyAlignment="1">
      <alignment horizontal="center"/>
    </xf>
    <xf numFmtId="164" fontId="14" fillId="0" borderId="31" xfId="5" applyNumberFormat="1" applyFont="1" applyFill="1" applyBorder="1" applyAlignment="1">
      <alignment horizontal="center"/>
    </xf>
    <xf numFmtId="164" fontId="14" fillId="5" borderId="35" xfId="5" applyNumberFormat="1" applyFont="1" applyFill="1" applyBorder="1"/>
    <xf numFmtId="164" fontId="14" fillId="0" borderId="35" xfId="5" applyNumberFormat="1" applyFont="1" applyFill="1" applyBorder="1"/>
    <xf numFmtId="164" fontId="14" fillId="5" borderId="36" xfId="5" applyNumberFormat="1" applyFont="1" applyFill="1" applyBorder="1"/>
    <xf numFmtId="164" fontId="14" fillId="5" borderId="20" xfId="5" applyNumberFormat="1" applyFont="1" applyFill="1" applyBorder="1" applyAlignment="1">
      <alignment horizontal="center"/>
    </xf>
    <xf numFmtId="164" fontId="14" fillId="0" borderId="29" xfId="5" applyNumberFormat="1" applyFont="1" applyFill="1" applyBorder="1" applyAlignment="1">
      <alignment horizontal="center"/>
    </xf>
    <xf numFmtId="164" fontId="14" fillId="0" borderId="36" xfId="5" applyNumberFormat="1" applyFont="1" applyFill="1" applyBorder="1"/>
    <xf numFmtId="164" fontId="14" fillId="0" borderId="30" xfId="5" applyNumberFormat="1" applyFont="1" applyFill="1" applyBorder="1"/>
    <xf numFmtId="164" fontId="14" fillId="0" borderId="18" xfId="4" applyNumberFormat="1" applyFont="1" applyBorder="1"/>
    <xf numFmtId="164" fontId="14" fillId="0" borderId="18" xfId="5" applyNumberFormat="1" applyFont="1" applyFill="1" applyBorder="1"/>
    <xf numFmtId="0" fontId="14" fillId="0" borderId="0" xfId="5" applyNumberFormat="1" applyFont="1" applyFill="1"/>
    <xf numFmtId="164" fontId="79" fillId="0" borderId="26" xfId="4" applyNumberFormat="1" applyFont="1" applyBorder="1"/>
    <xf numFmtId="43" fontId="14" fillId="0" borderId="0" xfId="4" applyNumberFormat="1" applyFont="1"/>
    <xf numFmtId="0" fontId="83" fillId="0" borderId="33" xfId="4" applyFont="1" applyBorder="1"/>
    <xf numFmtId="0" fontId="83" fillId="0" borderId="18" xfId="0" applyFont="1" applyBorder="1"/>
    <xf numFmtId="0" fontId="83" fillId="0" borderId="18" xfId="4" applyFont="1" applyBorder="1"/>
    <xf numFmtId="0" fontId="84" fillId="3" borderId="34" xfId="0" applyFont="1" applyFill="1" applyBorder="1"/>
    <xf numFmtId="180" fontId="14" fillId="3" borderId="0" xfId="4" applyNumberFormat="1" applyFont="1" applyFill="1"/>
    <xf numFmtId="0" fontId="83" fillId="0" borderId="33" xfId="0" applyFont="1" applyBorder="1"/>
    <xf numFmtId="0" fontId="83" fillId="0" borderId="34" xfId="4" applyFont="1" applyBorder="1"/>
    <xf numFmtId="180" fontId="14" fillId="0" borderId="0" xfId="4" applyNumberFormat="1" applyFont="1"/>
    <xf numFmtId="0" fontId="83" fillId="0" borderId="35" xfId="4" applyFont="1" applyBorder="1" applyAlignment="1">
      <alignment horizontal="left" indent="1"/>
    </xf>
    <xf numFmtId="0" fontId="83" fillId="0" borderId="0" xfId="4" applyFont="1" applyAlignment="1">
      <alignment horizontal="center"/>
    </xf>
    <xf numFmtId="0" fontId="83" fillId="0" borderId="0" xfId="4" applyFont="1"/>
    <xf numFmtId="164" fontId="83" fillId="0" borderId="32" xfId="5" applyNumberFormat="1" applyFont="1" applyBorder="1"/>
    <xf numFmtId="180" fontId="14" fillId="0" borderId="0" xfId="15" applyNumberFormat="1" applyFont="1"/>
    <xf numFmtId="0" fontId="85" fillId="0" borderId="0" xfId="4" applyFont="1"/>
    <xf numFmtId="180" fontId="14" fillId="3" borderId="0" xfId="15" applyNumberFormat="1" applyFont="1" applyFill="1" applyAlignment="1">
      <alignment horizontal="left"/>
    </xf>
    <xf numFmtId="180" fontId="81" fillId="0" borderId="0" xfId="15" applyNumberFormat="1" applyFont="1" applyFill="1" applyAlignment="1">
      <alignment horizontal="left"/>
    </xf>
    <xf numFmtId="0" fontId="83" fillId="0" borderId="36" xfId="4" applyFont="1" applyBorder="1" applyAlignment="1">
      <alignment horizontal="left" indent="1"/>
    </xf>
    <xf numFmtId="0" fontId="83" fillId="0" borderId="20" xfId="4" applyFont="1" applyBorder="1" applyAlignment="1">
      <alignment horizontal="center"/>
    </xf>
    <xf numFmtId="0" fontId="83" fillId="0" borderId="20" xfId="4" applyFont="1" applyBorder="1"/>
    <xf numFmtId="164" fontId="83" fillId="0" borderId="30" xfId="5" applyNumberFormat="1" applyFont="1" applyBorder="1"/>
    <xf numFmtId="180" fontId="14" fillId="0" borderId="0" xfId="15" applyNumberFormat="1" applyFont="1" applyAlignment="1">
      <alignment horizontal="left"/>
    </xf>
    <xf numFmtId="0" fontId="83" fillId="0" borderId="27" xfId="0" applyFont="1" applyBorder="1"/>
    <xf numFmtId="0" fontId="83" fillId="0" borderId="28" xfId="4" applyFont="1" applyBorder="1"/>
    <xf numFmtId="164" fontId="83" fillId="0" borderId="25" xfId="4" applyNumberFormat="1" applyFont="1" applyBorder="1"/>
    <xf numFmtId="180" fontId="14" fillId="0" borderId="0" xfId="15" applyNumberFormat="1" applyFont="1" applyFill="1" applyAlignment="1">
      <alignment horizontal="left"/>
    </xf>
    <xf numFmtId="44" fontId="4" fillId="3" borderId="0" xfId="15" applyFont="1" applyFill="1"/>
    <xf numFmtId="0" fontId="71" fillId="0" borderId="0" xfId="4" applyFont="1" applyAlignment="1">
      <alignment horizontal="center"/>
    </xf>
    <xf numFmtId="0" fontId="71" fillId="0" borderId="0" xfId="4" applyFont="1"/>
    <xf numFmtId="0" fontId="0" fillId="0" borderId="0" xfId="0" applyAlignment="1">
      <alignment horizontal="centerContinuous"/>
    </xf>
    <xf numFmtId="164" fontId="4" fillId="0" borderId="0" xfId="5" applyNumberFormat="1" applyFill="1" applyAlignment="1">
      <alignment horizontal="centerContinuous"/>
    </xf>
    <xf numFmtId="0" fontId="0" fillId="0" borderId="0" xfId="0" applyAlignment="1">
      <alignment horizontal="center"/>
    </xf>
    <xf numFmtId="0" fontId="0" fillId="0" borderId="0" xfId="0" applyAlignment="1">
      <alignment horizontal="left"/>
    </xf>
    <xf numFmtId="164" fontId="4" fillId="0" borderId="0" xfId="5" applyNumberFormat="1"/>
    <xf numFmtId="0" fontId="52" fillId="6" borderId="0" xfId="0" applyFont="1" applyFill="1" applyAlignment="1">
      <alignment horizontal="left"/>
    </xf>
    <xf numFmtId="0" fontId="52" fillId="0" borderId="0" xfId="0" applyFont="1" applyAlignment="1">
      <alignment horizontal="left"/>
    </xf>
    <xf numFmtId="167" fontId="1" fillId="0" borderId="0" xfId="3" applyNumberFormat="1"/>
    <xf numFmtId="167" fontId="1" fillId="0" borderId="0" xfId="3" applyNumberFormat="1" applyAlignment="1"/>
    <xf numFmtId="0" fontId="59" fillId="0" borderId="0" xfId="0" applyFont="1"/>
    <xf numFmtId="164" fontId="4" fillId="0" borderId="0" xfId="5" applyNumberFormat="1" applyFill="1"/>
    <xf numFmtId="180" fontId="0" fillId="0" borderId="0" xfId="0" applyNumberFormat="1"/>
    <xf numFmtId="0" fontId="59" fillId="0" borderId="0" xfId="0" applyFont="1" applyAlignment="1">
      <alignment horizontal="left"/>
    </xf>
    <xf numFmtId="0" fontId="62" fillId="0" borderId="0" xfId="0" applyFont="1" applyAlignment="1">
      <alignment horizontal="left"/>
    </xf>
    <xf numFmtId="0" fontId="0" fillId="0" borderId="0" xfId="0" applyAlignment="1">
      <alignment wrapText="1"/>
    </xf>
    <xf numFmtId="0" fontId="13" fillId="0" borderId="3" xfId="0" applyFont="1" applyBorder="1"/>
    <xf numFmtId="0" fontId="13" fillId="0" borderId="4" xfId="0" applyFont="1" applyBorder="1" applyAlignment="1">
      <alignment horizontal="center"/>
    </xf>
    <xf numFmtId="0" fontId="13" fillId="0" borderId="38" xfId="0" applyFont="1" applyBorder="1"/>
    <xf numFmtId="0" fontId="13" fillId="0" borderId="0" xfId="0" applyFont="1"/>
    <xf numFmtId="0" fontId="4" fillId="0" borderId="0" xfId="0" applyFont="1" applyAlignment="1">
      <alignment wrapText="1"/>
    </xf>
    <xf numFmtId="0" fontId="0" fillId="0" borderId="0" xfId="0" applyAlignment="1">
      <alignment horizontal="left" wrapText="1"/>
    </xf>
    <xf numFmtId="0" fontId="13" fillId="0" borderId="0" xfId="0" applyFont="1" applyAlignment="1">
      <alignment horizontal="center"/>
    </xf>
    <xf numFmtId="2" fontId="13" fillId="3" borderId="38" xfId="0" applyNumberFormat="1" applyFont="1" applyFill="1" applyBorder="1" applyAlignment="1">
      <alignment horizontal="center"/>
    </xf>
    <xf numFmtId="0" fontId="87" fillId="0" borderId="0" xfId="0" applyFont="1"/>
    <xf numFmtId="0" fontId="13" fillId="0" borderId="39" xfId="0" applyFont="1" applyBorder="1" applyAlignment="1">
      <alignment horizontal="center"/>
    </xf>
    <xf numFmtId="2" fontId="88" fillId="3" borderId="38" xfId="0" applyNumberFormat="1" applyFont="1" applyFill="1" applyBorder="1" applyAlignment="1">
      <alignment horizontal="center"/>
    </xf>
    <xf numFmtId="164" fontId="13" fillId="0" borderId="0" xfId="5" applyNumberFormat="1" applyFont="1" applyBorder="1"/>
    <xf numFmtId="164" fontId="13" fillId="0" borderId="39" xfId="5" applyNumberFormat="1" applyFont="1" applyBorder="1" applyAlignment="1">
      <alignment horizontal="center"/>
    </xf>
    <xf numFmtId="0" fontId="13" fillId="3" borderId="38" xfId="0" applyFont="1" applyFill="1" applyBorder="1" applyAlignment="1">
      <alignment horizontal="center"/>
    </xf>
    <xf numFmtId="0" fontId="13" fillId="0" borderId="39" xfId="0" applyFont="1" applyBorder="1" applyAlignment="1">
      <alignment horizontal="left" wrapText="1"/>
    </xf>
    <xf numFmtId="0" fontId="13" fillId="0" borderId="39" xfId="0" applyFont="1" applyBorder="1" applyAlignment="1">
      <alignment wrapText="1"/>
    </xf>
    <xf numFmtId="0" fontId="13" fillId="0" borderId="0" xfId="0" applyFont="1" applyAlignment="1">
      <alignment horizontal="center" wrapText="1"/>
    </xf>
    <xf numFmtId="0" fontId="88" fillId="3" borderId="38" xfId="0" applyFont="1" applyFill="1" applyBorder="1" applyAlignment="1">
      <alignment horizontal="center"/>
    </xf>
    <xf numFmtId="10" fontId="13" fillId="0" borderId="39" xfId="3" applyNumberFormat="1" applyFont="1" applyFill="1" applyBorder="1" applyAlignment="1">
      <alignment horizontal="center"/>
    </xf>
    <xf numFmtId="38" fontId="13" fillId="5" borderId="38" xfId="0" applyNumberFormat="1" applyFont="1" applyFill="1" applyBorder="1" applyAlignment="1">
      <alignment horizontal="center"/>
    </xf>
    <xf numFmtId="0" fontId="89" fillId="0" borderId="0" xfId="0" applyFont="1" applyAlignment="1">
      <alignment horizontal="left"/>
    </xf>
    <xf numFmtId="0" fontId="90" fillId="0" borderId="0" xfId="0" applyFont="1" applyAlignment="1">
      <alignment horizontal="left"/>
    </xf>
    <xf numFmtId="10" fontId="13" fillId="0" borderId="0" xfId="3" applyNumberFormat="1" applyFont="1" applyFill="1" applyBorder="1" applyAlignment="1">
      <alignment horizontal="left"/>
    </xf>
    <xf numFmtId="0" fontId="9" fillId="0" borderId="0" xfId="0" applyFont="1"/>
    <xf numFmtId="167" fontId="13" fillId="0" borderId="38" xfId="0" applyNumberFormat="1" applyFont="1" applyBorder="1"/>
    <xf numFmtId="0" fontId="13" fillId="0" borderId="0" xfId="0" applyFont="1" applyAlignment="1">
      <alignment horizontal="left" wrapText="1"/>
    </xf>
    <xf numFmtId="0" fontId="4" fillId="0" borderId="0" xfId="0" applyFont="1" applyAlignment="1">
      <alignment horizontal="left" wrapText="1"/>
    </xf>
    <xf numFmtId="164" fontId="13" fillId="0" borderId="39" xfId="0" applyNumberFormat="1" applyFont="1" applyBorder="1"/>
    <xf numFmtId="167" fontId="13" fillId="0" borderId="0" xfId="0" applyNumberFormat="1" applyFont="1"/>
    <xf numFmtId="164" fontId="13" fillId="0" borderId="0" xfId="0" applyNumberFormat="1" applyFont="1"/>
    <xf numFmtId="164" fontId="88" fillId="3" borderId="38" xfId="5" applyNumberFormat="1" applyFont="1" applyFill="1" applyBorder="1"/>
    <xf numFmtId="164" fontId="13" fillId="0" borderId="39" xfId="5" applyNumberFormat="1" applyFont="1" applyBorder="1"/>
    <xf numFmtId="164" fontId="86" fillId="0" borderId="0" xfId="5" applyNumberFormat="1" applyFont="1" applyFill="1" applyBorder="1"/>
    <xf numFmtId="164" fontId="13" fillId="3" borderId="38" xfId="5" applyNumberFormat="1" applyFont="1" applyFill="1" applyBorder="1"/>
    <xf numFmtId="164" fontId="13" fillId="0" borderId="0" xfId="5" applyNumberFormat="1" applyFont="1" applyFill="1" applyBorder="1"/>
    <xf numFmtId="43" fontId="13" fillId="0" borderId="38" xfId="5" applyFont="1" applyFill="1" applyBorder="1"/>
    <xf numFmtId="164" fontId="13" fillId="0" borderId="39" xfId="5" applyNumberFormat="1" applyFont="1" applyFill="1" applyBorder="1"/>
    <xf numFmtId="0" fontId="13" fillId="0" borderId="11" xfId="0" applyFont="1" applyBorder="1"/>
    <xf numFmtId="0" fontId="13" fillId="0" borderId="1" xfId="0" applyFont="1" applyBorder="1"/>
    <xf numFmtId="0" fontId="13" fillId="0" borderId="24" xfId="0" applyFont="1" applyBorder="1"/>
    <xf numFmtId="0" fontId="86" fillId="0" borderId="24" xfId="0" applyFont="1" applyBorder="1" applyAlignment="1">
      <alignment horizontal="center"/>
    </xf>
    <xf numFmtId="0" fontId="86" fillId="0" borderId="21" xfId="0" applyFont="1" applyBorder="1" applyAlignment="1">
      <alignment horizontal="center" wrapText="1"/>
    </xf>
    <xf numFmtId="0" fontId="86" fillId="0" borderId="22" xfId="0" applyFont="1" applyBorder="1" applyAlignment="1">
      <alignment horizontal="center"/>
    </xf>
    <xf numFmtId="164" fontId="86" fillId="0" borderId="22" xfId="5" applyNumberFormat="1" applyFont="1" applyBorder="1" applyAlignment="1">
      <alignment horizontal="center"/>
    </xf>
    <xf numFmtId="0" fontId="86" fillId="0" borderId="23" xfId="0" applyFont="1" applyBorder="1" applyAlignment="1">
      <alignment horizontal="center"/>
    </xf>
    <xf numFmtId="0" fontId="86" fillId="0" borderId="23" xfId="0" applyFont="1" applyBorder="1" applyAlignment="1">
      <alignment horizontal="center" wrapText="1"/>
    </xf>
    <xf numFmtId="0" fontId="13" fillId="0" borderId="24" xfId="0" applyFont="1" applyBorder="1" applyAlignment="1">
      <alignment horizontal="center" wrapText="1"/>
    </xf>
    <xf numFmtId="0" fontId="66" fillId="0" borderId="0" xfId="0" applyFont="1" applyAlignment="1">
      <alignment horizontal="left"/>
    </xf>
    <xf numFmtId="0" fontId="13" fillId="0" borderId="47" xfId="0" applyFont="1" applyBorder="1"/>
    <xf numFmtId="0" fontId="88" fillId="0" borderId="47" xfId="0" applyFont="1" applyBorder="1" applyAlignment="1">
      <alignment horizontal="center"/>
    </xf>
    <xf numFmtId="164" fontId="13" fillId="0" borderId="38" xfId="0" applyNumberFormat="1" applyFont="1" applyBorder="1"/>
    <xf numFmtId="164" fontId="91" fillId="10" borderId="38" xfId="0" applyNumberFormat="1" applyFont="1" applyFill="1" applyBorder="1"/>
    <xf numFmtId="164" fontId="91" fillId="10" borderId="0" xfId="5" applyNumberFormat="1" applyFont="1" applyFill="1" applyBorder="1"/>
    <xf numFmtId="180" fontId="13" fillId="0" borderId="47" xfId="15" applyNumberFormat="1" applyFont="1" applyBorder="1"/>
    <xf numFmtId="180" fontId="13" fillId="0" borderId="39" xfId="0" applyNumberFormat="1" applyFont="1" applyBorder="1"/>
    <xf numFmtId="0" fontId="13" fillId="0" borderId="47" xfId="0" applyFont="1" applyBorder="1" applyAlignment="1">
      <alignment horizontal="center"/>
    </xf>
    <xf numFmtId="180" fontId="13" fillId="0" borderId="38" xfId="0" applyNumberFormat="1" applyFont="1" applyBorder="1"/>
    <xf numFmtId="0" fontId="13" fillId="0" borderId="39" xfId="0" applyFont="1" applyBorder="1"/>
    <xf numFmtId="180" fontId="13" fillId="0" borderId="47" xfId="0" applyNumberFormat="1" applyFont="1" applyBorder="1"/>
    <xf numFmtId="164" fontId="91" fillId="10" borderId="38" xfId="17" applyNumberFormat="1" applyFont="1" applyFill="1" applyBorder="1"/>
    <xf numFmtId="164" fontId="91" fillId="10" borderId="0" xfId="0" applyNumberFormat="1" applyFont="1" applyFill="1"/>
    <xf numFmtId="164" fontId="92" fillId="0" borderId="38" xfId="0" applyNumberFormat="1" applyFont="1" applyBorder="1"/>
    <xf numFmtId="164" fontId="92" fillId="0" borderId="0" xfId="0" applyNumberFormat="1" applyFont="1"/>
    <xf numFmtId="164" fontId="92" fillId="0" borderId="0" xfId="5" applyNumberFormat="1" applyFont="1" applyFill="1" applyBorder="1"/>
    <xf numFmtId="164" fontId="86" fillId="0" borderId="47" xfId="0" applyNumberFormat="1" applyFont="1" applyBorder="1"/>
    <xf numFmtId="164" fontId="86" fillId="0" borderId="38" xfId="0" applyNumberFormat="1" applyFont="1" applyBorder="1"/>
    <xf numFmtId="164" fontId="86" fillId="0" borderId="0" xfId="0" applyNumberFormat="1" applyFont="1"/>
    <xf numFmtId="164" fontId="86" fillId="0" borderId="39" xfId="5" applyNumberFormat="1" applyFont="1" applyBorder="1"/>
    <xf numFmtId="0" fontId="13" fillId="0" borderId="13" xfId="0" applyFont="1" applyBorder="1"/>
    <xf numFmtId="164" fontId="86" fillId="0" borderId="13" xfId="0" applyNumberFormat="1" applyFont="1" applyBorder="1"/>
    <xf numFmtId="164" fontId="86" fillId="0" borderId="11" xfId="0" applyNumberFormat="1" applyFont="1" applyBorder="1"/>
    <xf numFmtId="164" fontId="86" fillId="0" borderId="1" xfId="0" applyNumberFormat="1" applyFont="1" applyBorder="1"/>
    <xf numFmtId="164" fontId="13" fillId="0" borderId="11" xfId="0" applyNumberFormat="1" applyFont="1" applyBorder="1"/>
    <xf numFmtId="164" fontId="13" fillId="0" borderId="12" xfId="5" applyNumberFormat="1" applyFont="1" applyBorder="1"/>
    <xf numFmtId="164" fontId="86" fillId="0" borderId="12" xfId="5" applyNumberFormat="1" applyFont="1" applyBorder="1"/>
    <xf numFmtId="180" fontId="13" fillId="0" borderId="13" xfId="15" applyNumberFormat="1" applyFont="1" applyBorder="1"/>
    <xf numFmtId="180" fontId="13" fillId="0" borderId="11" xfId="0" applyNumberFormat="1" applyFont="1" applyBorder="1"/>
    <xf numFmtId="0" fontId="13" fillId="0" borderId="12" xfId="0" applyFont="1" applyBorder="1"/>
    <xf numFmtId="180" fontId="13" fillId="0" borderId="13" xfId="0" applyNumberFormat="1" applyFont="1" applyBorder="1"/>
    <xf numFmtId="164" fontId="13" fillId="0" borderId="0" xfId="5" applyNumberFormat="1" applyFont="1"/>
    <xf numFmtId="180" fontId="13" fillId="0" borderId="0" xfId="15" applyNumberFormat="1" applyFont="1"/>
    <xf numFmtId="0" fontId="7" fillId="0" borderId="0" xfId="18" applyFont="1" applyAlignment="1">
      <alignment horizontal="centerContinuous"/>
    </xf>
    <xf numFmtId="0" fontId="6" fillId="0" borderId="0" xfId="18" applyFont="1" applyAlignment="1">
      <alignment horizontal="centerContinuous"/>
    </xf>
    <xf numFmtId="0" fontId="93" fillId="0" borderId="0" xfId="18" applyFont="1" applyAlignment="1">
      <alignment horizontal="centerContinuous"/>
    </xf>
    <xf numFmtId="0" fontId="93" fillId="0" borderId="0" xfId="18" applyFont="1"/>
    <xf numFmtId="0" fontId="52" fillId="0" borderId="2" xfId="18" applyFont="1" applyBorder="1" applyAlignment="1">
      <alignment horizontal="center"/>
    </xf>
    <xf numFmtId="10" fontId="9" fillId="3" borderId="53" xfId="18" applyNumberFormat="1" applyFont="1" applyFill="1" applyBorder="1" applyAlignment="1">
      <alignment horizontal="right" vertical="top"/>
    </xf>
    <xf numFmtId="10" fontId="9" fillId="0" borderId="5" xfId="18" applyNumberFormat="1" applyFont="1" applyBorder="1" applyAlignment="1">
      <alignment horizontal="right" vertical="top"/>
    </xf>
    <xf numFmtId="0" fontId="9" fillId="0" borderId="4" xfId="18" applyFont="1" applyBorder="1" applyAlignment="1">
      <alignment vertical="top"/>
    </xf>
    <xf numFmtId="10" fontId="9" fillId="3" borderId="51" xfId="18" applyNumberFormat="1" applyFont="1" applyFill="1" applyBorder="1" applyAlignment="1">
      <alignment horizontal="right" vertical="top"/>
    </xf>
    <xf numFmtId="0" fontId="93" fillId="0" borderId="0" xfId="18" applyFont="1" applyAlignment="1">
      <alignment vertical="top"/>
    </xf>
    <xf numFmtId="10" fontId="94" fillId="0" borderId="39" xfId="18" applyNumberFormat="1" applyFont="1" applyBorder="1" applyAlignment="1">
      <alignment horizontal="right" vertical="top"/>
    </xf>
    <xf numFmtId="10" fontId="9" fillId="3" borderId="56" xfId="18" applyNumberFormat="1" applyFont="1" applyFill="1" applyBorder="1" applyAlignment="1">
      <alignment horizontal="right" vertical="top"/>
    </xf>
    <xf numFmtId="0" fontId="93" fillId="0" borderId="1" xfId="18" applyFont="1" applyBorder="1" applyAlignment="1">
      <alignment vertical="top"/>
    </xf>
    <xf numFmtId="43" fontId="93" fillId="0" borderId="0" xfId="18" applyNumberFormat="1" applyFont="1" applyAlignment="1">
      <alignment vertical="top"/>
    </xf>
    <xf numFmtId="0" fontId="52" fillId="0" borderId="0" xfId="18" applyFont="1" applyAlignment="1">
      <alignment horizontal="center" vertical="center"/>
    </xf>
    <xf numFmtId="0" fontId="62" fillId="0" borderId="0" xfId="18" applyFont="1"/>
    <xf numFmtId="0" fontId="95" fillId="0" borderId="0" xfId="20" applyFont="1"/>
    <xf numFmtId="0" fontId="95" fillId="0" borderId="0" xfId="20" applyFont="1" applyAlignment="1">
      <alignment horizontal="centerContinuous"/>
    </xf>
    <xf numFmtId="0" fontId="96" fillId="0" borderId="0" xfId="20" applyFont="1" applyAlignment="1">
      <alignment horizontal="centerContinuous"/>
    </xf>
    <xf numFmtId="0" fontId="96" fillId="0" borderId="0" xfId="20" applyFont="1"/>
    <xf numFmtId="0" fontId="97" fillId="0" borderId="0" xfId="20" applyFont="1"/>
    <xf numFmtId="43" fontId="96" fillId="0" borderId="0" xfId="21" applyFont="1" applyBorder="1" applyAlignment="1"/>
    <xf numFmtId="43" fontId="96" fillId="0" borderId="1" xfId="21" applyFont="1" applyBorder="1" applyAlignment="1"/>
    <xf numFmtId="43" fontId="96" fillId="0" borderId="0" xfId="21" applyFont="1" applyFill="1" applyBorder="1" applyAlignment="1"/>
    <xf numFmtId="0" fontId="96" fillId="0" borderId="3" xfId="20" applyFont="1" applyBorder="1"/>
    <xf numFmtId="164" fontId="96" fillId="0" borderId="47" xfId="21" applyNumberFormat="1" applyFont="1" applyFill="1" applyBorder="1" applyAlignment="1">
      <alignment horizontal="center" wrapText="1"/>
    </xf>
    <xf numFmtId="164" fontId="96" fillId="0" borderId="0" xfId="21" applyNumberFormat="1" applyFont="1" applyFill="1" applyBorder="1" applyAlignment="1">
      <alignment horizontal="center"/>
    </xf>
    <xf numFmtId="0" fontId="96" fillId="0" borderId="38" xfId="20" applyFont="1" applyBorder="1"/>
    <xf numFmtId="164" fontId="96" fillId="0" borderId="3" xfId="21" applyNumberFormat="1" applyFont="1" applyFill="1" applyBorder="1" applyAlignment="1">
      <alignment horizontal="center"/>
    </xf>
    <xf numFmtId="164" fontId="96" fillId="3" borderId="3" xfId="21" applyNumberFormat="1" applyFont="1" applyFill="1" applyBorder="1" applyAlignment="1">
      <alignment horizontal="center"/>
    </xf>
    <xf numFmtId="164" fontId="96" fillId="3" borderId="4" xfId="21" applyNumberFormat="1" applyFont="1" applyFill="1" applyBorder="1" applyAlignment="1">
      <alignment horizontal="center"/>
    </xf>
    <xf numFmtId="164" fontId="96" fillId="0" borderId="24" xfId="21" applyNumberFormat="1" applyFont="1" applyFill="1" applyBorder="1" applyAlignment="1">
      <alignment horizontal="center"/>
    </xf>
    <xf numFmtId="164" fontId="96" fillId="3" borderId="23" xfId="21" applyNumberFormat="1" applyFont="1" applyFill="1" applyBorder="1" applyAlignment="1">
      <alignment horizontal="center"/>
    </xf>
    <xf numFmtId="0" fontId="96" fillId="0" borderId="3" xfId="20" applyFont="1" applyBorder="1" applyAlignment="1">
      <alignment wrapText="1"/>
    </xf>
    <xf numFmtId="164" fontId="98" fillId="3" borderId="2" xfId="21" applyNumberFormat="1" applyFont="1" applyFill="1" applyBorder="1" applyAlignment="1">
      <alignment horizontal="center" wrapText="1"/>
    </xf>
    <xf numFmtId="0" fontId="98" fillId="3" borderId="3" xfId="20" applyFont="1" applyFill="1" applyBorder="1" applyAlignment="1">
      <alignment horizontal="center" wrapText="1"/>
    </xf>
    <xf numFmtId="0" fontId="98" fillId="3" borderId="4" xfId="20" applyFont="1" applyFill="1" applyBorder="1" applyAlignment="1">
      <alignment horizontal="center" wrapText="1"/>
    </xf>
    <xf numFmtId="0" fontId="98" fillId="3" borderId="0" xfId="20" applyFont="1" applyFill="1" applyAlignment="1">
      <alignment horizontal="center" wrapText="1"/>
    </xf>
    <xf numFmtId="164" fontId="96" fillId="0" borderId="47" xfId="21" applyNumberFormat="1" applyFont="1" applyFill="1" applyBorder="1" applyAlignment="1">
      <alignment horizontal="center"/>
    </xf>
    <xf numFmtId="0" fontId="96" fillId="0" borderId="38" xfId="20" applyFont="1" applyBorder="1" applyAlignment="1">
      <alignment wrapText="1"/>
    </xf>
    <xf numFmtId="164" fontId="98" fillId="3" borderId="47" xfId="21" applyNumberFormat="1" applyFont="1" applyFill="1" applyBorder="1" applyAlignment="1">
      <alignment horizontal="center" wrapText="1"/>
    </xf>
    <xf numFmtId="0" fontId="98" fillId="3" borderId="38" xfId="20" applyFont="1" applyFill="1" applyBorder="1" applyAlignment="1">
      <alignment horizontal="center" wrapText="1"/>
    </xf>
    <xf numFmtId="0" fontId="98" fillId="3" borderId="39" xfId="20" applyFont="1" applyFill="1" applyBorder="1" applyAlignment="1">
      <alignment horizontal="center" wrapText="1"/>
    </xf>
    <xf numFmtId="0" fontId="96" fillId="0" borderId="11" xfId="20" applyFont="1" applyBorder="1"/>
    <xf numFmtId="0" fontId="98" fillId="3" borderId="11" xfId="20" applyFont="1" applyFill="1" applyBorder="1" applyAlignment="1">
      <alignment horizontal="center" wrapText="1"/>
    </xf>
    <xf numFmtId="0" fontId="98" fillId="3" borderId="1" xfId="20" applyFont="1" applyFill="1" applyBorder="1" applyAlignment="1">
      <alignment horizontal="center" wrapText="1"/>
    </xf>
    <xf numFmtId="164" fontId="96" fillId="0" borderId="13" xfId="21" applyNumberFormat="1" applyFont="1" applyFill="1" applyBorder="1"/>
    <xf numFmtId="164" fontId="98" fillId="3" borderId="2" xfId="21" applyNumberFormat="1" applyFont="1" applyFill="1" applyBorder="1"/>
    <xf numFmtId="164" fontId="98" fillId="3" borderId="3" xfId="21" applyNumberFormat="1" applyFont="1" applyFill="1" applyBorder="1"/>
    <xf numFmtId="164" fontId="98" fillId="3" borderId="4" xfId="21" applyNumberFormat="1" applyFont="1" applyFill="1" applyBorder="1"/>
    <xf numFmtId="164" fontId="98" fillId="3" borderId="5" xfId="21" applyNumberFormat="1" applyFont="1" applyFill="1" applyBorder="1"/>
    <xf numFmtId="164" fontId="96" fillId="0" borderId="47" xfId="21" applyNumberFormat="1" applyFont="1" applyFill="1" applyBorder="1"/>
    <xf numFmtId="164" fontId="96" fillId="0" borderId="0" xfId="21" applyNumberFormat="1" applyFont="1" applyFill="1" applyBorder="1"/>
    <xf numFmtId="164" fontId="98" fillId="3" borderId="47" xfId="21" applyNumberFormat="1" applyFont="1" applyFill="1" applyBorder="1"/>
    <xf numFmtId="43" fontId="98" fillId="3" borderId="0" xfId="21" applyFont="1" applyFill="1" applyBorder="1"/>
    <xf numFmtId="164" fontId="98" fillId="3" borderId="38" xfId="21" applyNumberFormat="1" applyFont="1" applyFill="1" applyBorder="1"/>
    <xf numFmtId="164" fontId="98" fillId="3" borderId="0" xfId="21" applyNumberFormat="1" applyFont="1" applyFill="1" applyBorder="1"/>
    <xf numFmtId="164" fontId="98" fillId="3" borderId="39" xfId="21" applyNumberFormat="1" applyFont="1" applyFill="1" applyBorder="1"/>
    <xf numFmtId="0" fontId="96" fillId="0" borderId="39" xfId="20" applyFont="1" applyBorder="1"/>
    <xf numFmtId="164" fontId="98" fillId="3" borderId="11" xfId="21" applyNumberFormat="1" applyFont="1" applyFill="1" applyBorder="1"/>
    <xf numFmtId="164" fontId="98" fillId="3" borderId="1" xfId="21" applyNumberFormat="1" applyFont="1" applyFill="1" applyBorder="1"/>
    <xf numFmtId="164" fontId="98" fillId="3" borderId="12" xfId="21" applyNumberFormat="1" applyFont="1" applyFill="1" applyBorder="1"/>
    <xf numFmtId="0" fontId="96" fillId="0" borderId="21" xfId="20" applyFont="1" applyBorder="1"/>
    <xf numFmtId="164" fontId="96" fillId="0" borderId="24" xfId="21" applyNumberFormat="1" applyFont="1" applyFill="1" applyBorder="1"/>
    <xf numFmtId="164" fontId="96" fillId="0" borderId="11" xfId="21" applyNumberFormat="1" applyFont="1" applyFill="1" applyBorder="1"/>
    <xf numFmtId="164" fontId="96" fillId="0" borderId="1" xfId="21" applyNumberFormat="1" applyFont="1" applyFill="1" applyBorder="1"/>
    <xf numFmtId="164" fontId="96" fillId="0" borderId="0" xfId="20" applyNumberFormat="1" applyFont="1"/>
    <xf numFmtId="164" fontId="95" fillId="0" borderId="24" xfId="21" applyNumberFormat="1" applyFont="1" applyFill="1" applyBorder="1"/>
    <xf numFmtId="164" fontId="95" fillId="0" borderId="21" xfId="21" applyNumberFormat="1" applyFont="1" applyFill="1" applyBorder="1"/>
    <xf numFmtId="164" fontId="95" fillId="0" borderId="22" xfId="21" applyNumberFormat="1" applyFont="1" applyFill="1" applyBorder="1"/>
    <xf numFmtId="43" fontId="96" fillId="0" borderId="0" xfId="21" applyFont="1" applyFill="1" applyBorder="1"/>
    <xf numFmtId="164" fontId="96" fillId="3" borderId="21" xfId="22" applyNumberFormat="1" applyFont="1" applyFill="1" applyBorder="1" applyAlignment="1">
      <alignment horizontal="center"/>
    </xf>
    <xf numFmtId="164" fontId="96" fillId="3" borderId="22" xfId="22" applyNumberFormat="1" applyFont="1" applyFill="1" applyBorder="1" applyAlignment="1">
      <alignment horizontal="center"/>
    </xf>
    <xf numFmtId="164" fontId="96" fillId="0" borderId="24" xfId="22" applyNumberFormat="1" applyFont="1" applyFill="1" applyBorder="1" applyAlignment="1">
      <alignment horizontal="center"/>
    </xf>
    <xf numFmtId="164" fontId="95" fillId="0" borderId="2" xfId="21" applyNumberFormat="1" applyFont="1" applyFill="1" applyBorder="1" applyAlignment="1">
      <alignment horizontal="center" wrapText="1"/>
    </xf>
    <xf numFmtId="164" fontId="98" fillId="3" borderId="38" xfId="22" applyNumberFormat="1" applyFont="1" applyFill="1" applyBorder="1" applyAlignment="1">
      <alignment horizontal="center" wrapText="1"/>
    </xf>
    <xf numFmtId="164" fontId="98" fillId="3" borderId="0" xfId="22" applyNumberFormat="1" applyFont="1" applyFill="1" applyBorder="1" applyAlignment="1">
      <alignment horizontal="center" wrapText="1"/>
    </xf>
    <xf numFmtId="164" fontId="98" fillId="3" borderId="0" xfId="22" applyNumberFormat="1" applyFont="1" applyFill="1" applyBorder="1" applyAlignment="1">
      <alignment horizontal="center"/>
    </xf>
    <xf numFmtId="0" fontId="71" fillId="0" borderId="2" xfId="20" applyFont="1" applyBorder="1" applyAlignment="1">
      <alignment horizontal="center" wrapText="1"/>
    </xf>
    <xf numFmtId="9" fontId="71" fillId="0" borderId="2" xfId="20" applyNumberFormat="1" applyFont="1" applyBorder="1" applyAlignment="1">
      <alignment horizontal="center" wrapText="1"/>
    </xf>
    <xf numFmtId="164" fontId="98" fillId="3" borderId="11" xfId="22" applyNumberFormat="1" applyFont="1" applyFill="1" applyBorder="1" applyAlignment="1">
      <alignment horizontal="center"/>
    </xf>
    <xf numFmtId="164" fontId="98" fillId="3" borderId="1" xfId="22" applyNumberFormat="1" applyFont="1" applyFill="1" applyBorder="1" applyAlignment="1">
      <alignment horizontal="center"/>
    </xf>
    <xf numFmtId="164" fontId="96" fillId="0" borderId="13" xfId="22" applyNumberFormat="1" applyFont="1" applyFill="1" applyBorder="1" applyAlignment="1">
      <alignment horizontal="center"/>
    </xf>
    <xf numFmtId="0" fontId="71" fillId="0" borderId="13" xfId="20" applyFont="1" applyBorder="1" applyAlignment="1">
      <alignment horizontal="center" wrapText="1"/>
    </xf>
    <xf numFmtId="0" fontId="96" fillId="0" borderId="13" xfId="20" applyFont="1" applyBorder="1" applyAlignment="1">
      <alignment horizontal="center" wrapText="1"/>
    </xf>
    <xf numFmtId="164" fontId="98" fillId="3" borderId="3" xfId="22" applyNumberFormat="1" applyFont="1" applyFill="1" applyBorder="1"/>
    <xf numFmtId="164" fontId="98" fillId="3" borderId="4" xfId="22" applyNumberFormat="1" applyFont="1" applyFill="1" applyBorder="1"/>
    <xf numFmtId="164" fontId="96" fillId="0" borderId="47" xfId="22" applyNumberFormat="1" applyFont="1" applyFill="1" applyBorder="1"/>
    <xf numFmtId="164" fontId="98" fillId="3" borderId="2" xfId="20" applyNumberFormat="1" applyFont="1" applyFill="1" applyBorder="1" applyAlignment="1">
      <alignment horizontal="center" wrapText="1"/>
    </xf>
    <xf numFmtId="164" fontId="96" fillId="0" borderId="2" xfId="20" applyNumberFormat="1" applyFont="1" applyBorder="1"/>
    <xf numFmtId="164" fontId="96" fillId="0" borderId="47" xfId="20" applyNumberFormat="1" applyFont="1" applyBorder="1"/>
    <xf numFmtId="164" fontId="98" fillId="3" borderId="38" xfId="22" applyNumberFormat="1" applyFont="1" applyFill="1" applyBorder="1"/>
    <xf numFmtId="164" fontId="98" fillId="3" borderId="0" xfId="22" applyNumberFormat="1" applyFont="1" applyFill="1" applyBorder="1"/>
    <xf numFmtId="164" fontId="98" fillId="3" borderId="47" xfId="20" applyNumberFormat="1" applyFont="1" applyFill="1" applyBorder="1" applyAlignment="1">
      <alignment horizontal="center" wrapText="1"/>
    </xf>
    <xf numFmtId="164" fontId="98" fillId="3" borderId="47" xfId="20" applyNumberFormat="1" applyFont="1" applyFill="1" applyBorder="1"/>
    <xf numFmtId="164" fontId="98" fillId="3" borderId="11" xfId="22" applyNumberFormat="1" applyFont="1" applyFill="1" applyBorder="1"/>
    <xf numFmtId="164" fontId="98" fillId="3" borderId="1" xfId="22" applyNumberFormat="1" applyFont="1" applyFill="1" applyBorder="1"/>
    <xf numFmtId="164" fontId="98" fillId="3" borderId="13" xfId="20" applyNumberFormat="1" applyFont="1" applyFill="1" applyBorder="1" applyAlignment="1">
      <alignment horizontal="center" wrapText="1"/>
    </xf>
    <xf numFmtId="164" fontId="96" fillId="0" borderId="13" xfId="20" applyNumberFormat="1" applyFont="1" applyBorder="1"/>
    <xf numFmtId="164" fontId="96" fillId="0" borderId="21" xfId="21" applyNumberFormat="1" applyFont="1" applyFill="1" applyBorder="1"/>
    <xf numFmtId="164" fontId="96" fillId="0" borderId="22" xfId="21" applyNumberFormat="1" applyFont="1" applyFill="1" applyBorder="1"/>
    <xf numFmtId="164" fontId="96" fillId="0" borderId="24" xfId="22" applyNumberFormat="1" applyFont="1" applyFill="1" applyBorder="1"/>
    <xf numFmtId="164" fontId="95" fillId="0" borderId="24" xfId="22" applyNumberFormat="1" applyFont="1" applyFill="1" applyBorder="1"/>
    <xf numFmtId="43" fontId="96" fillId="0" borderId="0" xfId="21" applyFont="1"/>
    <xf numFmtId="43" fontId="96" fillId="0" borderId="0" xfId="20" applyNumberFormat="1" applyFont="1"/>
    <xf numFmtId="164" fontId="96" fillId="0" borderId="21" xfId="21" applyNumberFormat="1" applyFont="1" applyFill="1" applyBorder="1" applyAlignment="1">
      <alignment horizontal="center"/>
    </xf>
    <xf numFmtId="0" fontId="95" fillId="0" borderId="0" xfId="20" quotePrefix="1" applyFont="1"/>
    <xf numFmtId="0" fontId="10" fillId="3" borderId="0" xfId="8" applyFont="1" applyFill="1" applyAlignment="1">
      <alignment horizontal="center"/>
    </xf>
    <xf numFmtId="0" fontId="96" fillId="0" borderId="1" xfId="20" applyFont="1" applyBorder="1"/>
    <xf numFmtId="164" fontId="96" fillId="3" borderId="21" xfId="21" applyNumberFormat="1" applyFont="1" applyFill="1" applyBorder="1" applyAlignment="1">
      <alignment horizontal="center"/>
    </xf>
    <xf numFmtId="164" fontId="96" fillId="3" borderId="22" xfId="21" applyNumberFormat="1" applyFont="1" applyFill="1" applyBorder="1" applyAlignment="1">
      <alignment horizontal="center"/>
    </xf>
    <xf numFmtId="0" fontId="96" fillId="0" borderId="2" xfId="20" applyFont="1" applyBorder="1" applyAlignment="1">
      <alignment wrapText="1"/>
    </xf>
    <xf numFmtId="164" fontId="98" fillId="3" borderId="4" xfId="21" applyNumberFormat="1" applyFont="1" applyFill="1" applyBorder="1" applyAlignment="1">
      <alignment horizontal="center" wrapText="1"/>
    </xf>
    <xf numFmtId="43" fontId="96" fillId="0" borderId="2" xfId="21" applyFont="1" applyFill="1" applyBorder="1" applyAlignment="1">
      <alignment horizontal="center"/>
    </xf>
    <xf numFmtId="0" fontId="96" fillId="0" borderId="47" xfId="20" applyFont="1" applyBorder="1" applyAlignment="1">
      <alignment wrapText="1"/>
    </xf>
    <xf numFmtId="164" fontId="98" fillId="3" borderId="0" xfId="21" applyNumberFormat="1" applyFont="1" applyFill="1" applyBorder="1" applyAlignment="1">
      <alignment horizontal="center" wrapText="1"/>
    </xf>
    <xf numFmtId="43" fontId="71" fillId="0" borderId="47" xfId="21" applyFont="1" applyFill="1" applyBorder="1" applyAlignment="1">
      <alignment horizontal="center" wrapText="1"/>
    </xf>
    <xf numFmtId="0" fontId="96" fillId="0" borderId="13" xfId="20" applyFont="1" applyBorder="1" applyAlignment="1">
      <alignment horizontal="center"/>
    </xf>
    <xf numFmtId="164" fontId="98" fillId="3" borderId="1" xfId="21" applyNumberFormat="1" applyFont="1" applyFill="1" applyBorder="1" applyAlignment="1">
      <alignment horizontal="center"/>
    </xf>
    <xf numFmtId="43" fontId="71" fillId="0" borderId="13" xfId="21" applyFont="1" applyFill="1" applyBorder="1" applyAlignment="1">
      <alignment horizontal="center" wrapText="1"/>
    </xf>
    <xf numFmtId="0" fontId="98" fillId="3" borderId="38" xfId="20" applyFont="1" applyFill="1" applyBorder="1" applyAlignment="1">
      <alignment horizontal="center"/>
    </xf>
    <xf numFmtId="43" fontId="98" fillId="3" borderId="3" xfId="21" applyFont="1" applyFill="1" applyBorder="1"/>
    <xf numFmtId="43" fontId="98" fillId="3" borderId="4" xfId="21" applyFont="1" applyFill="1" applyBorder="1"/>
    <xf numFmtId="43" fontId="98" fillId="3" borderId="38" xfId="21" applyFont="1" applyFill="1" applyBorder="1"/>
    <xf numFmtId="43" fontId="98" fillId="3" borderId="11" xfId="21" applyFont="1" applyFill="1" applyBorder="1"/>
    <xf numFmtId="0" fontId="96" fillId="0" borderId="22" xfId="20" applyFont="1" applyBorder="1"/>
    <xf numFmtId="0" fontId="96" fillId="0" borderId="23" xfId="20" applyFont="1" applyBorder="1"/>
    <xf numFmtId="164" fontId="96" fillId="0" borderId="23" xfId="21" applyNumberFormat="1" applyFont="1" applyFill="1" applyBorder="1"/>
    <xf numFmtId="0" fontId="96" fillId="0" borderId="4" xfId="20" applyFont="1" applyBorder="1"/>
    <xf numFmtId="0" fontId="96" fillId="0" borderId="5" xfId="20" applyFont="1" applyBorder="1"/>
    <xf numFmtId="0" fontId="96" fillId="0" borderId="12" xfId="20" applyFont="1" applyBorder="1"/>
    <xf numFmtId="0" fontId="1" fillId="0" borderId="0" xfId="20"/>
    <xf numFmtId="164" fontId="0" fillId="0" borderId="0" xfId="21" applyNumberFormat="1" applyFont="1"/>
    <xf numFmtId="164" fontId="96" fillId="0" borderId="0" xfId="21" applyNumberFormat="1" applyFont="1"/>
    <xf numFmtId="164" fontId="98" fillId="3" borderId="38" xfId="21" applyNumberFormat="1" applyFont="1" applyFill="1" applyBorder="1" applyAlignment="1">
      <alignment horizontal="center" wrapText="1"/>
    </xf>
    <xf numFmtId="0" fontId="96" fillId="0" borderId="47" xfId="20" applyFont="1" applyBorder="1"/>
    <xf numFmtId="164" fontId="0" fillId="0" borderId="0" xfId="5" applyNumberFormat="1" applyFont="1"/>
    <xf numFmtId="181" fontId="96" fillId="0" borderId="47" xfId="21" applyNumberFormat="1" applyFont="1" applyFill="1" applyBorder="1"/>
    <xf numFmtId="43" fontId="96" fillId="0" borderId="22" xfId="21" applyFont="1" applyFill="1" applyBorder="1"/>
    <xf numFmtId="0" fontId="96" fillId="0" borderId="0" xfId="20" applyFont="1" applyAlignment="1">
      <alignment vertical="center"/>
    </xf>
    <xf numFmtId="0" fontId="96" fillId="0" borderId="3" xfId="20" applyFont="1" applyBorder="1" applyAlignment="1">
      <alignment vertical="center" wrapText="1"/>
    </xf>
    <xf numFmtId="0" fontId="96" fillId="0" borderId="2" xfId="20" applyFont="1" applyBorder="1" applyAlignment="1">
      <alignment vertical="center" wrapText="1"/>
    </xf>
    <xf numFmtId="0" fontId="96" fillId="0" borderId="5" xfId="20" applyFont="1" applyBorder="1" applyAlignment="1">
      <alignment vertical="center" wrapText="1"/>
    </xf>
    <xf numFmtId="164" fontId="98" fillId="3" borderId="3" xfId="22" applyNumberFormat="1" applyFont="1" applyFill="1" applyBorder="1" applyAlignment="1">
      <alignment horizontal="center" vertical="center" wrapText="1"/>
    </xf>
    <xf numFmtId="164" fontId="98" fillId="3" borderId="4" xfId="22" applyNumberFormat="1" applyFont="1" applyFill="1" applyBorder="1" applyAlignment="1">
      <alignment horizontal="center" vertical="center" wrapText="1"/>
    </xf>
    <xf numFmtId="43" fontId="96" fillId="0" borderId="2" xfId="22" applyFont="1" applyFill="1" applyBorder="1" applyAlignment="1">
      <alignment horizontal="center" vertical="center"/>
    </xf>
    <xf numFmtId="164" fontId="95" fillId="0" borderId="2" xfId="21" applyNumberFormat="1" applyFont="1" applyFill="1" applyBorder="1" applyAlignment="1">
      <alignment horizontal="center" vertical="center" wrapText="1"/>
    </xf>
    <xf numFmtId="0" fontId="96" fillId="0" borderId="0" xfId="20" applyFont="1" applyAlignment="1">
      <alignment vertical="top"/>
    </xf>
    <xf numFmtId="0" fontId="96" fillId="0" borderId="38" xfId="20" applyFont="1" applyBorder="1" applyAlignment="1">
      <alignment vertical="top" wrapText="1"/>
    </xf>
    <xf numFmtId="0" fontId="96" fillId="0" borderId="47" xfId="20" applyFont="1" applyBorder="1" applyAlignment="1">
      <alignment vertical="top" wrapText="1"/>
    </xf>
    <xf numFmtId="164" fontId="96" fillId="0" borderId="47" xfId="22" applyNumberFormat="1" applyFont="1" applyFill="1" applyBorder="1" applyAlignment="1">
      <alignment horizontal="center" vertical="top" wrapText="1"/>
    </xf>
    <xf numFmtId="0" fontId="71" fillId="0" borderId="2" xfId="20" applyFont="1" applyBorder="1" applyAlignment="1">
      <alignment horizontal="center" vertical="top" wrapText="1"/>
    </xf>
    <xf numFmtId="0" fontId="96" fillId="0" borderId="11" xfId="20" applyFont="1" applyBorder="1" applyAlignment="1">
      <alignment horizontal="center" vertical="center"/>
    </xf>
    <xf numFmtId="0" fontId="96" fillId="0" borderId="13" xfId="20" applyFont="1" applyBorder="1" applyAlignment="1">
      <alignment horizontal="center" vertical="center"/>
    </xf>
    <xf numFmtId="0" fontId="96" fillId="0" borderId="39" xfId="20" applyFont="1" applyBorder="1" applyAlignment="1">
      <alignment horizontal="center" vertical="center" wrapText="1"/>
    </xf>
    <xf numFmtId="0" fontId="57" fillId="0" borderId="0" xfId="23" applyFont="1"/>
    <xf numFmtId="0" fontId="102" fillId="0" borderId="0" xfId="8" applyFont="1"/>
    <xf numFmtId="0" fontId="101" fillId="0" borderId="0" xfId="23" applyFont="1"/>
    <xf numFmtId="0" fontId="1" fillId="0" borderId="0" xfId="23"/>
    <xf numFmtId="0" fontId="103" fillId="0" borderId="0" xfId="23" applyFont="1"/>
    <xf numFmtId="0" fontId="52" fillId="6" borderId="59" xfId="24" quotePrefix="1" applyFont="1" applyFill="1" applyProtection="1">
      <alignment horizontal="left" vertical="center" indent="1"/>
      <protection locked="0"/>
    </xf>
    <xf numFmtId="0" fontId="52" fillId="6" borderId="59" xfId="24" applyFont="1" applyFill="1" applyProtection="1">
      <alignment horizontal="left" vertical="center" indent="1"/>
      <protection locked="0"/>
    </xf>
    <xf numFmtId="0" fontId="52" fillId="6" borderId="59" xfId="25" quotePrefix="1" applyFont="1" applyFill="1" applyProtection="1">
      <alignment horizontal="left" vertical="center" indent="1"/>
      <protection locked="0"/>
    </xf>
    <xf numFmtId="0" fontId="9" fillId="3" borderId="59" xfId="26" quotePrefix="1" applyFont="1" applyFill="1" applyProtection="1">
      <alignment horizontal="left" vertical="center" indent="1"/>
      <protection locked="0"/>
    </xf>
    <xf numFmtId="37" fontId="9" fillId="3" borderId="59" xfId="5" applyNumberFormat="1" applyFont="1" applyFill="1" applyBorder="1" applyAlignment="1" applyProtection="1">
      <alignment horizontal="right" vertical="center"/>
      <protection locked="0"/>
    </xf>
    <xf numFmtId="4" fontId="1" fillId="0" borderId="0" xfId="23" applyNumberFormat="1"/>
    <xf numFmtId="0" fontId="9" fillId="3" borderId="59" xfId="26" applyFont="1" applyFill="1" applyProtection="1">
      <alignment horizontal="left" vertical="center" indent="1"/>
      <protection locked="0"/>
    </xf>
    <xf numFmtId="0" fontId="52" fillId="0" borderId="34" xfId="26" applyFont="1" applyFill="1" applyBorder="1" applyAlignment="1" applyProtection="1">
      <alignment horizontal="right" vertical="center" indent="1"/>
      <protection locked="0"/>
    </xf>
    <xf numFmtId="37" fontId="103" fillId="0" borderId="26" xfId="5" applyNumberFormat="1" applyFont="1" applyFill="1" applyBorder="1"/>
    <xf numFmtId="0" fontId="57" fillId="0" borderId="0" xfId="27" applyFont="1"/>
    <xf numFmtId="0" fontId="101" fillId="0" borderId="0" xfId="27" applyFont="1"/>
    <xf numFmtId="0" fontId="104" fillId="0" borderId="0" xfId="27" applyFont="1" applyAlignment="1">
      <alignment horizontal="centerContinuous"/>
    </xf>
    <xf numFmtId="0" fontId="101" fillId="0" borderId="0" xfId="27" applyFont="1" applyAlignment="1">
      <alignment horizontal="centerContinuous"/>
    </xf>
    <xf numFmtId="0" fontId="1" fillId="0" borderId="0" xfId="27"/>
    <xf numFmtId="44" fontId="4" fillId="0" borderId="0" xfId="8" applyNumberFormat="1"/>
    <xf numFmtId="0" fontId="52" fillId="6" borderId="21" xfId="28" quotePrefix="1" applyFont="1" applyFill="1" applyBorder="1" applyAlignment="1" applyProtection="1">
      <alignment horizontal="center" wrapText="1"/>
      <protection locked="0"/>
    </xf>
    <xf numFmtId="0" fontId="52" fillId="6" borderId="24" xfId="28" quotePrefix="1" applyFont="1" applyFill="1" applyBorder="1" applyAlignment="1" applyProtection="1">
      <alignment horizontal="center" wrapText="1"/>
      <protection locked="0"/>
    </xf>
    <xf numFmtId="0" fontId="52" fillId="6" borderId="24" xfId="28" applyFont="1" applyFill="1" applyBorder="1" applyAlignment="1" applyProtection="1">
      <alignment horizontal="center" wrapText="1"/>
      <protection locked="0"/>
    </xf>
    <xf numFmtId="0" fontId="105" fillId="0" borderId="24" xfId="29" applyFont="1" applyBorder="1" applyAlignment="1">
      <alignment horizontal="center" wrapText="1"/>
    </xf>
    <xf numFmtId="0" fontId="105" fillId="7" borderId="24" xfId="29" applyFont="1" applyFill="1" applyBorder="1" applyAlignment="1">
      <alignment horizontal="center" wrapText="1"/>
    </xf>
    <xf numFmtId="0" fontId="52" fillId="6" borderId="24" xfId="30" quotePrefix="1" applyFont="1" applyFill="1" applyBorder="1" applyAlignment="1" applyProtection="1">
      <alignment horizontal="center" wrapText="1"/>
      <protection locked="0"/>
    </xf>
    <xf numFmtId="42" fontId="1" fillId="0" borderId="0" xfId="27" applyNumberFormat="1"/>
    <xf numFmtId="0" fontId="57" fillId="3" borderId="62" xfId="8" applyFont="1" applyFill="1" applyBorder="1" applyAlignment="1">
      <alignment horizontal="center"/>
    </xf>
    <xf numFmtId="0" fontId="9" fillId="3" borderId="64" xfId="8" applyFont="1" applyFill="1" applyBorder="1"/>
    <xf numFmtId="42" fontId="57" fillId="6" borderId="48" xfId="27" applyNumberFormat="1" applyFont="1" applyFill="1" applyBorder="1"/>
    <xf numFmtId="42" fontId="57" fillId="6" borderId="50" xfId="27" applyNumberFormat="1" applyFont="1" applyFill="1" applyBorder="1"/>
    <xf numFmtId="0" fontId="57" fillId="0" borderId="0" xfId="32" applyFont="1" applyAlignment="1">
      <alignment horizontal="right"/>
    </xf>
    <xf numFmtId="0" fontId="106" fillId="0" borderId="0" xfId="33" applyFont="1"/>
    <xf numFmtId="168" fontId="9" fillId="0" borderId="0" xfId="3" applyNumberFormat="1" applyFont="1" applyFill="1"/>
    <xf numFmtId="168" fontId="57" fillId="0" borderId="0" xfId="3" applyNumberFormat="1" applyFont="1" applyFill="1"/>
    <xf numFmtId="42" fontId="57" fillId="0" borderId="65" xfId="32" applyNumberFormat="1" applyFont="1" applyBorder="1"/>
    <xf numFmtId="0" fontId="57" fillId="0" borderId="0" xfId="33" applyFont="1" applyAlignment="1">
      <alignment horizontal="right"/>
    </xf>
    <xf numFmtId="0" fontId="57" fillId="0" borderId="0" xfId="33" applyFont="1"/>
    <xf numFmtId="0" fontId="103" fillId="0" borderId="0" xfId="33" applyFont="1" applyAlignment="1">
      <alignment horizontal="right"/>
    </xf>
    <xf numFmtId="42" fontId="103" fillId="0" borderId="66" xfId="33" applyNumberFormat="1" applyFont="1" applyBorder="1"/>
    <xf numFmtId="42" fontId="0" fillId="0" borderId="0" xfId="27" applyNumberFormat="1" applyFont="1"/>
    <xf numFmtId="0" fontId="101" fillId="0" borderId="0" xfId="33" applyFont="1"/>
    <xf numFmtId="0" fontId="1" fillId="0" borderId="0" xfId="33"/>
    <xf numFmtId="0" fontId="103" fillId="0" borderId="0" xfId="33" applyFont="1"/>
    <xf numFmtId="0" fontId="107" fillId="0" borderId="0" xfId="33" applyFont="1"/>
    <xf numFmtId="0" fontId="4" fillId="0" borderId="62" xfId="8" applyBorder="1" applyAlignment="1">
      <alignment horizontal="center"/>
    </xf>
    <xf numFmtId="43" fontId="4" fillId="0" borderId="62" xfId="5" applyFont="1" applyBorder="1" applyAlignment="1">
      <alignment horizontal="center"/>
    </xf>
    <xf numFmtId="37" fontId="9" fillId="3" borderId="31" xfId="5" applyNumberFormat="1" applyFont="1" applyFill="1" applyBorder="1"/>
    <xf numFmtId="0" fontId="52" fillId="0" borderId="65" xfId="8" applyFont="1" applyBorder="1" applyAlignment="1">
      <alignment horizontal="left" indent="1"/>
    </xf>
    <xf numFmtId="37" fontId="52" fillId="0" borderId="62" xfId="5" applyNumberFormat="1" applyFont="1" applyFill="1" applyBorder="1"/>
    <xf numFmtId="164" fontId="52" fillId="0" borderId="0" xfId="5" applyNumberFormat="1" applyFont="1" applyFill="1" applyBorder="1"/>
    <xf numFmtId="0" fontId="4" fillId="0" borderId="65" xfId="8" applyBorder="1" applyAlignment="1">
      <alignment horizontal="left" indent="1"/>
    </xf>
    <xf numFmtId="0" fontId="4" fillId="3" borderId="65" xfId="8" applyFill="1" applyBorder="1" applyAlignment="1">
      <alignment horizontal="center"/>
    </xf>
    <xf numFmtId="0" fontId="99" fillId="0" borderId="0" xfId="34" applyFont="1" applyAlignment="1">
      <alignment horizontal="centerContinuous"/>
    </xf>
    <xf numFmtId="0" fontId="101" fillId="0" borderId="0" xfId="34" applyFont="1" applyAlignment="1">
      <alignment horizontal="centerContinuous"/>
    </xf>
    <xf numFmtId="0" fontId="101" fillId="0" borderId="0" xfId="34" applyFont="1"/>
    <xf numFmtId="0" fontId="107" fillId="0" borderId="0" xfId="34" applyFont="1"/>
    <xf numFmtId="0" fontId="100" fillId="0" borderId="0" xfId="34" applyFont="1"/>
    <xf numFmtId="0" fontId="104" fillId="0" borderId="0" xfId="34" applyFont="1"/>
    <xf numFmtId="0" fontId="99" fillId="0" borderId="0" xfId="34" applyFont="1"/>
    <xf numFmtId="0" fontId="108" fillId="0" borderId="0" xfId="34" applyFont="1"/>
    <xf numFmtId="0" fontId="104" fillId="0" borderId="20" xfId="34" applyFont="1" applyBorder="1"/>
    <xf numFmtId="0" fontId="104" fillId="0" borderId="20" xfId="34" applyFont="1" applyBorder="1" applyAlignment="1">
      <alignment horizontal="center"/>
    </xf>
    <xf numFmtId="0" fontId="101" fillId="0" borderId="0" xfId="34" applyFont="1" applyAlignment="1">
      <alignment horizontal="center"/>
    </xf>
    <xf numFmtId="0" fontId="109" fillId="0" borderId="20" xfId="34" applyFont="1" applyBorder="1" applyAlignment="1">
      <alignment horizontal="center" wrapText="1"/>
    </xf>
    <xf numFmtId="0" fontId="54" fillId="3" borderId="0" xfId="34" applyFont="1" applyFill="1"/>
    <xf numFmtId="37" fontId="54" fillId="3" borderId="0" xfId="34" applyNumberFormat="1" applyFont="1" applyFill="1" applyAlignment="1">
      <alignment horizontal="right"/>
    </xf>
    <xf numFmtId="37" fontId="101" fillId="0" borderId="0" xfId="34" applyNumberFormat="1" applyFont="1"/>
    <xf numFmtId="182" fontId="54" fillId="3" borderId="0" xfId="34" applyNumberFormat="1" applyFont="1" applyFill="1" applyAlignment="1">
      <alignment horizontal="right"/>
    </xf>
    <xf numFmtId="37" fontId="54" fillId="3" borderId="0" xfId="34" applyNumberFormat="1" applyFont="1" applyFill="1" applyAlignment="1">
      <alignment horizontal="center"/>
    </xf>
    <xf numFmtId="0" fontId="54" fillId="0" borderId="0" xfId="34" applyFont="1"/>
    <xf numFmtId="37" fontId="111" fillId="0" borderId="0" xfId="34" applyNumberFormat="1" applyFont="1"/>
    <xf numFmtId="37" fontId="101" fillId="0" borderId="0" xfId="34" applyNumberFormat="1" applyFont="1" applyAlignment="1">
      <alignment horizontal="right"/>
    </xf>
    <xf numFmtId="0" fontId="43" fillId="0" borderId="65" xfId="34" applyFont="1" applyBorder="1"/>
    <xf numFmtId="37" fontId="104" fillId="0" borderId="65" xfId="5" applyNumberFormat="1" applyFont="1" applyFill="1" applyBorder="1"/>
    <xf numFmtId="182" fontId="101" fillId="0" borderId="65" xfId="5" applyNumberFormat="1" applyFont="1" applyFill="1" applyBorder="1"/>
    <xf numFmtId="0" fontId="1" fillId="0" borderId="0" xfId="34"/>
    <xf numFmtId="0" fontId="101" fillId="0" borderId="0" xfId="34" applyFont="1" applyAlignment="1">
      <alignment horizontal="left" indent="1"/>
    </xf>
    <xf numFmtId="37" fontId="54" fillId="3" borderId="0" xfId="35" applyNumberFormat="1" applyFont="1" applyFill="1"/>
    <xf numFmtId="0" fontId="101" fillId="0" borderId="65" xfId="34" applyFont="1" applyBorder="1"/>
    <xf numFmtId="164" fontId="101" fillId="0" borderId="0" xfId="34" applyNumberFormat="1" applyFont="1"/>
    <xf numFmtId="0" fontId="104" fillId="0" borderId="65" xfId="34" applyFont="1" applyBorder="1"/>
    <xf numFmtId="37" fontId="104" fillId="0" borderId="65" xfId="34" applyNumberFormat="1" applyFont="1" applyBorder="1"/>
    <xf numFmtId="0" fontId="42" fillId="0" borderId="0" xfId="34" applyFont="1"/>
    <xf numFmtId="183" fontId="7" fillId="0" borderId="0" xfId="4" applyNumberFormat="1" applyFont="1" applyAlignment="1">
      <alignment horizontal="centerContinuous"/>
    </xf>
    <xf numFmtId="183" fontId="52" fillId="0" borderId="0" xfId="4" applyNumberFormat="1" applyFont="1" applyAlignment="1">
      <alignment horizontal="centerContinuous"/>
    </xf>
    <xf numFmtId="183" fontId="112" fillId="0" borderId="0" xfId="4" applyNumberFormat="1" applyFont="1" applyAlignment="1">
      <alignment horizontal="centerContinuous"/>
    </xf>
    <xf numFmtId="37" fontId="4" fillId="0" borderId="0" xfId="4" applyNumberFormat="1" applyAlignment="1">
      <alignment horizontal="centerContinuous"/>
    </xf>
    <xf numFmtId="37" fontId="113" fillId="0" borderId="0" xfId="4" applyNumberFormat="1" applyFont="1" applyAlignment="1">
      <alignment horizontal="centerContinuous"/>
    </xf>
    <xf numFmtId="37" fontId="4" fillId="0" borderId="0" xfId="4" applyNumberFormat="1"/>
    <xf numFmtId="37" fontId="3" fillId="0" borderId="0" xfId="4" applyNumberFormat="1" applyFont="1" applyAlignment="1">
      <alignment horizontal="centerContinuous" vertical="center"/>
    </xf>
    <xf numFmtId="37" fontId="4" fillId="0" borderId="0" xfId="4" applyNumberFormat="1" applyAlignment="1">
      <alignment horizontal="centerContinuous" vertical="center"/>
    </xf>
    <xf numFmtId="10" fontId="4" fillId="0" borderId="0" xfId="3" applyNumberFormat="1" applyFont="1" applyFill="1" applyBorder="1" applyAlignment="1">
      <alignment horizontal="centerContinuous" vertical="center"/>
    </xf>
    <xf numFmtId="37" fontId="52" fillId="0" borderId="0" xfId="4" applyNumberFormat="1" applyFont="1"/>
    <xf numFmtId="37" fontId="4" fillId="0" borderId="24" xfId="4" applyNumberFormat="1" applyBorder="1" applyAlignment="1">
      <alignment horizontal="center" wrapText="1"/>
    </xf>
    <xf numFmtId="37" fontId="4" fillId="0" borderId="21" xfId="4" applyNumberFormat="1" applyBorder="1" applyAlignment="1">
      <alignment horizontal="centerContinuous" vertical="center"/>
    </xf>
    <xf numFmtId="37" fontId="52" fillId="0" borderId="22" xfId="4" applyNumberFormat="1" applyFont="1" applyBorder="1" applyAlignment="1">
      <alignment horizontal="centerContinuous"/>
    </xf>
    <xf numFmtId="37" fontId="4" fillId="0" borderId="22" xfId="4" applyNumberFormat="1" applyBorder="1" applyAlignment="1">
      <alignment horizontal="centerContinuous"/>
    </xf>
    <xf numFmtId="37" fontId="113" fillId="0" borderId="22" xfId="4" applyNumberFormat="1" applyFont="1" applyBorder="1" applyAlignment="1">
      <alignment horizontal="centerContinuous"/>
    </xf>
    <xf numFmtId="37" fontId="4" fillId="0" borderId="23" xfId="4" applyNumberFormat="1" applyBorder="1" applyAlignment="1">
      <alignment horizontal="centerContinuous"/>
    </xf>
    <xf numFmtId="37" fontId="52" fillId="0" borderId="48" xfId="4" applyNumberFormat="1" applyFont="1" applyBorder="1" applyAlignment="1">
      <alignment horizontal="center" wrapText="1"/>
    </xf>
    <xf numFmtId="37" fontId="52" fillId="0" borderId="67" xfId="4" applyNumberFormat="1" applyFont="1" applyBorder="1" applyAlignment="1">
      <alignment horizontal="center" wrapText="1"/>
    </xf>
    <xf numFmtId="0" fontId="52" fillId="0" borderId="49" xfId="36" applyFont="1" applyBorder="1"/>
    <xf numFmtId="0" fontId="52" fillId="0" borderId="49" xfId="36" applyFont="1" applyBorder="1" applyAlignment="1">
      <alignment horizontal="center" wrapText="1"/>
    </xf>
    <xf numFmtId="37" fontId="4" fillId="0" borderId="53" xfId="4" applyNumberFormat="1" applyBorder="1" applyAlignment="1">
      <alignment horizontal="center" vertical="center"/>
    </xf>
    <xf numFmtId="37" fontId="4" fillId="0" borderId="68" xfId="4" applyNumberFormat="1" applyBorder="1" applyAlignment="1">
      <alignment horizontal="center" vertical="center"/>
    </xf>
    <xf numFmtId="0" fontId="114" fillId="0" borderId="54" xfId="37" quotePrefix="1" applyNumberFormat="1" applyFill="1" applyBorder="1" applyAlignment="1" applyProtection="1">
      <alignment horizontal="left" vertical="center"/>
      <protection locked="0"/>
    </xf>
    <xf numFmtId="49" fontId="57" fillId="0" borderId="54" xfId="36" applyNumberFormat="1" applyFont="1" applyBorder="1"/>
    <xf numFmtId="37" fontId="4" fillId="0" borderId="51" xfId="4" applyNumberFormat="1" applyBorder="1" applyAlignment="1">
      <alignment horizontal="center" vertical="center"/>
    </xf>
    <xf numFmtId="37" fontId="4" fillId="0" borderId="32" xfId="4" applyNumberFormat="1" applyBorder="1" applyAlignment="1">
      <alignment horizontal="center" vertical="center"/>
    </xf>
    <xf numFmtId="0" fontId="114" fillId="0" borderId="31" xfId="37" applyNumberFormat="1" applyFill="1" applyBorder="1" applyAlignment="1" applyProtection="1">
      <alignment horizontal="left" vertical="center"/>
      <protection locked="0"/>
    </xf>
    <xf numFmtId="49" fontId="57" fillId="0" borderId="31" xfId="36" applyNumberFormat="1" applyFont="1" applyBorder="1"/>
    <xf numFmtId="0" fontId="57" fillId="0" borderId="31" xfId="36" applyFont="1" applyBorder="1" applyAlignment="1">
      <alignment horizontal="left"/>
    </xf>
    <xf numFmtId="0" fontId="114" fillId="0" borderId="31" xfId="37" quotePrefix="1" applyNumberFormat="1" applyFill="1" applyBorder="1" applyAlignment="1" applyProtection="1">
      <alignment horizontal="left" vertical="center"/>
      <protection locked="0"/>
    </xf>
    <xf numFmtId="185" fontId="59" fillId="0" borderId="0" xfId="4" applyNumberFormat="1" applyFont="1"/>
    <xf numFmtId="0" fontId="57" fillId="0" borderId="31" xfId="36" applyFont="1" applyBorder="1" applyAlignment="1">
      <alignment horizontal="left" wrapText="1"/>
    </xf>
    <xf numFmtId="49" fontId="57" fillId="0" borderId="31" xfId="36" applyNumberFormat="1" applyFont="1" applyBorder="1" applyAlignment="1">
      <alignment vertical="center"/>
    </xf>
    <xf numFmtId="39" fontId="4" fillId="0" borderId="0" xfId="4" applyNumberFormat="1"/>
    <xf numFmtId="37" fontId="4" fillId="0" borderId="32" xfId="4" applyNumberFormat="1" applyBorder="1" applyAlignment="1">
      <alignment horizontal="center" vertical="center" wrapText="1"/>
    </xf>
    <xf numFmtId="37" fontId="4" fillId="0" borderId="32" xfId="4" quotePrefix="1" applyNumberFormat="1" applyBorder="1" applyAlignment="1">
      <alignment horizontal="center" vertical="center" wrapText="1"/>
    </xf>
    <xf numFmtId="37" fontId="4" fillId="0" borderId="32" xfId="4" quotePrefix="1" applyNumberFormat="1" applyBorder="1" applyAlignment="1">
      <alignment horizontal="center" vertical="center"/>
    </xf>
    <xf numFmtId="49" fontId="57" fillId="0" borderId="31" xfId="8" applyNumberFormat="1" applyFont="1" applyBorder="1" applyAlignment="1">
      <alignment vertical="center"/>
    </xf>
    <xf numFmtId="37" fontId="4" fillId="0" borderId="56" xfId="4" applyNumberFormat="1" applyBorder="1" applyAlignment="1">
      <alignment horizontal="center" vertical="center"/>
    </xf>
    <xf numFmtId="37" fontId="4" fillId="0" borderId="70" xfId="4" quotePrefix="1" applyNumberFormat="1" applyBorder="1" applyAlignment="1">
      <alignment horizontal="center" vertical="center" wrapText="1"/>
    </xf>
    <xf numFmtId="37" fontId="4" fillId="0" borderId="70" xfId="4" quotePrefix="1" applyNumberFormat="1" applyBorder="1" applyAlignment="1">
      <alignment horizontal="center" vertical="center"/>
    </xf>
    <xf numFmtId="0" fontId="114" fillId="0" borderId="57" xfId="37" applyNumberFormat="1" applyFill="1" applyBorder="1" applyAlignment="1" applyProtection="1">
      <alignment horizontal="left" vertical="center"/>
      <protection locked="0"/>
    </xf>
    <xf numFmtId="49" fontId="57" fillId="0" borderId="57" xfId="8" applyNumberFormat="1" applyFont="1" applyBorder="1" applyAlignment="1">
      <alignment vertical="center"/>
    </xf>
    <xf numFmtId="37" fontId="52" fillId="0" borderId="48" xfId="4" applyNumberFormat="1" applyFont="1" applyBorder="1"/>
    <xf numFmtId="37" fontId="52" fillId="0" borderId="49" xfId="4" applyNumberFormat="1" applyFont="1" applyBorder="1"/>
    <xf numFmtId="37" fontId="52" fillId="0" borderId="49" xfId="4" applyNumberFormat="1" applyFont="1" applyBorder="1" applyAlignment="1">
      <alignment horizontal="center"/>
    </xf>
    <xf numFmtId="37" fontId="52" fillId="0" borderId="49" xfId="4" applyNumberFormat="1" applyFont="1" applyBorder="1" applyAlignment="1">
      <alignment horizontal="center" wrapText="1"/>
    </xf>
    <xf numFmtId="37" fontId="52" fillId="0" borderId="50" xfId="4" applyNumberFormat="1" applyFont="1" applyBorder="1" applyAlignment="1">
      <alignment horizontal="center"/>
    </xf>
    <xf numFmtId="37" fontId="113" fillId="0" borderId="0" xfId="4" applyNumberFormat="1" applyFont="1"/>
    <xf numFmtId="37" fontId="4" fillId="0" borderId="71" xfId="4" applyNumberFormat="1" applyBorder="1"/>
    <xf numFmtId="37" fontId="4" fillId="0" borderId="29" xfId="4" applyNumberFormat="1" applyBorder="1"/>
    <xf numFmtId="37" fontId="9" fillId="3" borderId="29" xfId="4" applyNumberFormat="1" applyFont="1" applyFill="1" applyBorder="1"/>
    <xf numFmtId="37" fontId="9" fillId="3" borderId="60" xfId="4" applyNumberFormat="1" applyFont="1" applyFill="1" applyBorder="1"/>
    <xf numFmtId="37" fontId="4" fillId="0" borderId="15" xfId="4" applyNumberFormat="1" applyBorder="1"/>
    <xf numFmtId="37" fontId="4" fillId="0" borderId="72" xfId="4" applyNumberFormat="1" applyBorder="1"/>
    <xf numFmtId="37" fontId="9" fillId="3" borderId="72" xfId="4" applyNumberFormat="1" applyFont="1" applyFill="1" applyBorder="1"/>
    <xf numFmtId="37" fontId="9" fillId="3" borderId="73" xfId="4" applyNumberFormat="1" applyFont="1" applyFill="1" applyBorder="1"/>
    <xf numFmtId="0" fontId="115" fillId="0" borderId="0" xfId="8" applyFont="1"/>
    <xf numFmtId="49" fontId="4" fillId="0" borderId="0" xfId="8" applyNumberFormat="1" applyAlignment="1">
      <alignment vertical="top" wrapText="1"/>
    </xf>
    <xf numFmtId="49" fontId="52" fillId="0" borderId="20" xfId="8" applyNumberFormat="1" applyFont="1" applyBorder="1" applyAlignment="1">
      <alignment vertical="top" wrapText="1"/>
    </xf>
    <xf numFmtId="49" fontId="52" fillId="0" borderId="20" xfId="8" applyNumberFormat="1" applyFont="1" applyBorder="1" applyAlignment="1">
      <alignment horizontal="center" vertical="top" wrapText="1"/>
    </xf>
    <xf numFmtId="0" fontId="9" fillId="3" borderId="0" xfId="8" applyFont="1" applyFill="1" applyAlignment="1">
      <alignment horizontal="left" vertical="center" indent="1"/>
    </xf>
    <xf numFmtId="37" fontId="9" fillId="3" borderId="0" xfId="5" applyNumberFormat="1" applyFont="1" applyFill="1" applyBorder="1"/>
    <xf numFmtId="0" fontId="52" fillId="0" borderId="65" xfId="8" applyFont="1" applyBorder="1"/>
    <xf numFmtId="37" fontId="52" fillId="0" borderId="65" xfId="5" applyNumberFormat="1" applyFont="1" applyBorder="1"/>
    <xf numFmtId="164" fontId="52" fillId="0" borderId="0" xfId="5" applyNumberFormat="1" applyFont="1" applyBorder="1"/>
    <xf numFmtId="37" fontId="10" fillId="3" borderId="65" xfId="5" applyNumberFormat="1" applyFont="1" applyFill="1" applyBorder="1"/>
    <xf numFmtId="0" fontId="52" fillId="0" borderId="19" xfId="8" applyFont="1" applyBorder="1" applyAlignment="1">
      <alignment horizontal="left" indent="1"/>
    </xf>
    <xf numFmtId="37" fontId="52" fillId="0" borderId="62" xfId="8" applyNumberFormat="1" applyFont="1" applyBorder="1"/>
    <xf numFmtId="0" fontId="7" fillId="0" borderId="0" xfId="8" applyFont="1" applyAlignment="1">
      <alignment horizontal="centerContinuous" vertical="justify"/>
    </xf>
    <xf numFmtId="186" fontId="116" fillId="0" borderId="0" xfId="5" quotePrefix="1" applyNumberFormat="1" applyFont="1" applyBorder="1" applyAlignment="1" applyProtection="1">
      <alignment horizontal="centerContinuous"/>
    </xf>
    <xf numFmtId="0" fontId="114" fillId="0" borderId="0" xfId="8" applyFont="1" applyAlignment="1">
      <alignment horizontal="centerContinuous"/>
    </xf>
    <xf numFmtId="0" fontId="4" fillId="0" borderId="0" xfId="8" applyAlignment="1">
      <alignment horizontal="left" vertical="justify"/>
    </xf>
    <xf numFmtId="186" fontId="116" fillId="0" borderId="0" xfId="5" quotePrefix="1" applyNumberFormat="1" applyFont="1" applyBorder="1" applyAlignment="1" applyProtection="1">
      <alignment horizontal="center"/>
    </xf>
    <xf numFmtId="0" fontId="114" fillId="0" borderId="0" xfId="8" applyFont="1" applyAlignment="1">
      <alignment horizontal="center"/>
    </xf>
    <xf numFmtId="0" fontId="52" fillId="0" borderId="0" xfId="8" applyFont="1" applyAlignment="1">
      <alignment horizontal="left" vertical="justify"/>
    </xf>
    <xf numFmtId="0" fontId="52" fillId="0" borderId="0" xfId="8" quotePrefix="1" applyFont="1" applyAlignment="1">
      <alignment horizontal="center"/>
    </xf>
    <xf numFmtId="0" fontId="105" fillId="0" borderId="0" xfId="8" applyFont="1" applyAlignment="1">
      <alignment horizontal="left"/>
    </xf>
    <xf numFmtId="0" fontId="52" fillId="0" borderId="0" xfId="8" applyFont="1" applyAlignment="1">
      <alignment horizontal="left"/>
    </xf>
    <xf numFmtId="0" fontId="52" fillId="0" borderId="20" xfId="8" applyFont="1" applyBorder="1" applyAlignment="1">
      <alignment horizontal="centerContinuous"/>
    </xf>
    <xf numFmtId="0" fontId="52" fillId="3" borderId="20" xfId="8" applyFont="1" applyFill="1" applyBorder="1"/>
    <xf numFmtId="0" fontId="105" fillId="3" borderId="20" xfId="8" applyFont="1" applyFill="1" applyBorder="1" applyAlignment="1">
      <alignment horizontal="center"/>
    </xf>
    <xf numFmtId="0" fontId="4" fillId="0" borderId="20" xfId="8" applyBorder="1" applyAlignment="1">
      <alignment horizontal="centerContinuous"/>
    </xf>
    <xf numFmtId="0" fontId="52" fillId="0" borderId="20" xfId="8" applyFont="1" applyBorder="1" applyAlignment="1">
      <alignment horizontal="left" wrapText="1"/>
    </xf>
    <xf numFmtId="0" fontId="52" fillId="0" borderId="20" xfId="8" applyFont="1" applyBorder="1" applyAlignment="1">
      <alignment wrapText="1"/>
    </xf>
    <xf numFmtId="184" fontId="52" fillId="3" borderId="20" xfId="8" quotePrefix="1" applyNumberFormat="1" applyFont="1" applyFill="1" applyBorder="1" applyAlignment="1">
      <alignment horizontal="center" wrapText="1"/>
    </xf>
    <xf numFmtId="187" fontId="52" fillId="3" borderId="20" xfId="8" quotePrefix="1" applyNumberFormat="1" applyFont="1" applyFill="1" applyBorder="1" applyAlignment="1">
      <alignment horizontal="center" wrapText="1"/>
    </xf>
    <xf numFmtId="0" fontId="4" fillId="3" borderId="0" xfId="8" applyFill="1" applyAlignment="1">
      <alignment horizontal="left" vertical="center"/>
    </xf>
    <xf numFmtId="182" fontId="9" fillId="3" borderId="0" xfId="5" applyNumberFormat="1" applyFont="1" applyFill="1" applyAlignment="1" applyProtection="1">
      <alignment vertical="center"/>
    </xf>
    <xf numFmtId="182" fontId="4" fillId="3" borderId="0" xfId="5" applyNumberFormat="1" applyFont="1" applyFill="1" applyAlignment="1">
      <alignment vertical="center"/>
    </xf>
    <xf numFmtId="0" fontId="9" fillId="3" borderId="0" xfId="8" applyFont="1" applyFill="1" applyAlignment="1">
      <alignment horizontal="center" vertical="center"/>
    </xf>
    <xf numFmtId="185" fontId="4" fillId="3" borderId="0" xfId="5" applyNumberFormat="1" applyFont="1" applyFill="1" applyBorder="1" applyAlignment="1">
      <alignment vertical="center"/>
    </xf>
    <xf numFmtId="182" fontId="4" fillId="0" borderId="0" xfId="8" applyNumberFormat="1" applyAlignment="1">
      <alignment vertical="center"/>
    </xf>
    <xf numFmtId="0" fontId="4" fillId="0" borderId="65" xfId="8" applyBorder="1" applyAlignment="1">
      <alignment horizontal="left" vertical="center" indent="1"/>
    </xf>
    <xf numFmtId="182" fontId="4" fillId="0" borderId="65" xfId="5" applyNumberFormat="1" applyFont="1" applyFill="1" applyBorder="1" applyAlignment="1" applyProtection="1">
      <alignment vertical="center"/>
    </xf>
    <xf numFmtId="186" fontId="4" fillId="0" borderId="0" xfId="5" applyNumberFormat="1" applyFont="1" applyFill="1" applyBorder="1" applyAlignment="1">
      <alignment vertical="center"/>
    </xf>
    <xf numFmtId="182" fontId="4" fillId="0" borderId="65" xfId="5" applyNumberFormat="1" applyFont="1" applyFill="1" applyBorder="1" applyAlignment="1">
      <alignment vertical="center"/>
    </xf>
    <xf numFmtId="185" fontId="4" fillId="0" borderId="65" xfId="5" applyNumberFormat="1" applyFont="1" applyFill="1" applyBorder="1" applyAlignment="1">
      <alignment vertical="center"/>
    </xf>
    <xf numFmtId="186" fontId="4" fillId="0" borderId="0" xfId="5" applyNumberFormat="1" applyFont="1" applyFill="1" applyAlignment="1">
      <alignment horizontal="right" vertical="center"/>
    </xf>
    <xf numFmtId="0" fontId="4" fillId="0" borderId="0" xfId="17"/>
    <xf numFmtId="168" fontId="4" fillId="0" borderId="0" xfId="8" applyNumberFormat="1"/>
    <xf numFmtId="168" fontId="4" fillId="0" borderId="0" xfId="3" applyNumberFormat="1" applyFont="1"/>
    <xf numFmtId="185" fontId="4" fillId="0" borderId="65" xfId="8" applyNumberFormat="1" applyBorder="1"/>
    <xf numFmtId="185" fontId="4" fillId="0" borderId="65" xfId="5" applyNumberFormat="1" applyFont="1" applyFill="1" applyBorder="1" applyAlignment="1">
      <alignment horizontal="right" vertical="center"/>
    </xf>
    <xf numFmtId="185" fontId="4" fillId="0" borderId="74" xfId="5" applyNumberFormat="1" applyFont="1" applyFill="1" applyBorder="1" applyAlignment="1">
      <alignment horizontal="right" vertical="center"/>
    </xf>
    <xf numFmtId="181" fontId="4" fillId="0" borderId="0" xfId="5" applyNumberFormat="1" applyFont="1" applyFill="1" applyAlignment="1">
      <alignment horizontal="right" vertical="center"/>
    </xf>
    <xf numFmtId="0" fontId="52" fillId="0" borderId="0" xfId="17" applyFont="1"/>
    <xf numFmtId="186" fontId="4" fillId="0" borderId="0" xfId="8" applyNumberFormat="1" applyAlignment="1">
      <alignment vertical="center"/>
    </xf>
    <xf numFmtId="164" fontId="52" fillId="0" borderId="62" xfId="5" applyNumberFormat="1" applyFont="1" applyFill="1" applyBorder="1" applyAlignment="1">
      <alignment vertical="center"/>
    </xf>
    <xf numFmtId="0" fontId="117" fillId="0" borderId="0" xfId="8" applyFont="1" applyAlignment="1">
      <alignment horizontal="left" vertical="justify"/>
    </xf>
    <xf numFmtId="0" fontId="117" fillId="0" borderId="0" xfId="8" applyFont="1"/>
    <xf numFmtId="0" fontId="117" fillId="0" borderId="0" xfId="8" applyFont="1" applyAlignment="1">
      <alignment horizontal="center"/>
    </xf>
    <xf numFmtId="186" fontId="118" fillId="0" borderId="0" xfId="5" quotePrefix="1" applyNumberFormat="1" applyFont="1" applyBorder="1" applyAlignment="1" applyProtection="1">
      <alignment horizontal="center"/>
    </xf>
    <xf numFmtId="0" fontId="119" fillId="0" borderId="0" xfId="8" applyFont="1" applyAlignment="1">
      <alignment horizontal="center"/>
    </xf>
    <xf numFmtId="0" fontId="48" fillId="0" borderId="0" xfId="8" applyFont="1" applyAlignment="1">
      <alignment horizontal="left" vertical="justify"/>
    </xf>
    <xf numFmtId="0" fontId="48" fillId="0" borderId="0" xfId="8" applyFont="1"/>
    <xf numFmtId="0" fontId="48" fillId="0" borderId="0" xfId="8" applyFont="1" applyAlignment="1">
      <alignment horizontal="center"/>
    </xf>
    <xf numFmtId="0" fontId="10" fillId="0" borderId="20" xfId="8" applyFont="1" applyBorder="1"/>
    <xf numFmtId="0" fontId="4" fillId="0" borderId="65" xfId="8" applyBorder="1"/>
    <xf numFmtId="37" fontId="52" fillId="0" borderId="19" xfId="8" applyNumberFormat="1" applyFont="1" applyBorder="1"/>
    <xf numFmtId="0" fontId="0" fillId="3" borderId="0" xfId="0" applyFill="1"/>
    <xf numFmtId="0" fontId="1" fillId="0" borderId="0" xfId="39"/>
    <xf numFmtId="0" fontId="103" fillId="0" borderId="0" xfId="39" applyFont="1"/>
    <xf numFmtId="0" fontId="57" fillId="0" borderId="0" xfId="39" applyFont="1" applyAlignment="1">
      <alignment wrapText="1"/>
    </xf>
    <xf numFmtId="188" fontId="1" fillId="0" borderId="0" xfId="39" applyNumberFormat="1" applyAlignment="1">
      <alignment horizontal="left"/>
    </xf>
    <xf numFmtId="37" fontId="9" fillId="3" borderId="75" xfId="39" applyNumberFormat="1" applyFont="1" applyFill="1" applyBorder="1" applyAlignment="1">
      <alignment horizontal="right"/>
    </xf>
    <xf numFmtId="37" fontId="9" fillId="3" borderId="31" xfId="39" applyNumberFormat="1" applyFont="1" applyFill="1" applyBorder="1" applyAlignment="1">
      <alignment horizontal="right"/>
    </xf>
    <xf numFmtId="0" fontId="120" fillId="0" borderId="0" xfId="39" applyFont="1"/>
    <xf numFmtId="37" fontId="9" fillId="3" borderId="29" xfId="39" applyNumberFormat="1" applyFont="1" applyFill="1" applyBorder="1" applyAlignment="1">
      <alignment horizontal="right"/>
    </xf>
    <xf numFmtId="0" fontId="83" fillId="0" borderId="0" xfId="40" applyNumberFormat="1" applyFont="1" applyFill="1" applyAlignment="1">
      <alignment horizontal="left"/>
    </xf>
    <xf numFmtId="0" fontId="83" fillId="0" borderId="62" xfId="41" applyFont="1" applyBorder="1" applyAlignment="1">
      <alignment horizontal="center"/>
    </xf>
    <xf numFmtId="0" fontId="83" fillId="0" borderId="62" xfId="4" applyFont="1" applyBorder="1" applyAlignment="1">
      <alignment horizontal="center"/>
    </xf>
    <xf numFmtId="0" fontId="84" fillId="0" borderId="62" xfId="4" applyFont="1" applyBorder="1" applyAlignment="1">
      <alignment horizontal="center"/>
    </xf>
    <xf numFmtId="0" fontId="83" fillId="0" borderId="0" xfId="4" applyFont="1" applyAlignment="1">
      <alignment wrapText="1"/>
    </xf>
    <xf numFmtId="164" fontId="83" fillId="0" borderId="35" xfId="4" applyNumberFormat="1" applyFont="1" applyBorder="1" applyAlignment="1">
      <alignment horizontal="center"/>
    </xf>
    <xf numFmtId="164" fontId="83" fillId="0" borderId="0" xfId="42" applyNumberFormat="1" applyFont="1" applyFill="1" applyBorder="1" applyAlignment="1">
      <alignment horizontal="center"/>
    </xf>
    <xf numFmtId="164" fontId="83" fillId="0" borderId="32" xfId="42" applyNumberFormat="1" applyFont="1" applyFill="1" applyBorder="1" applyAlignment="1">
      <alignment horizontal="center"/>
    </xf>
    <xf numFmtId="164" fontId="83" fillId="0" borderId="35" xfId="43" applyNumberFormat="1" applyFont="1" applyFill="1" applyBorder="1"/>
    <xf numFmtId="164" fontId="84" fillId="3" borderId="0" xfId="42" applyNumberFormat="1" applyFont="1" applyFill="1" applyBorder="1" applyAlignment="1">
      <alignment horizontal="center"/>
    </xf>
    <xf numFmtId="164" fontId="83" fillId="0" borderId="36" xfId="43" applyNumberFormat="1" applyFont="1" applyFill="1" applyBorder="1"/>
    <xf numFmtId="164" fontId="83" fillId="0" borderId="30" xfId="42" applyNumberFormat="1" applyFont="1" applyFill="1" applyBorder="1" applyAlignment="1">
      <alignment horizontal="center"/>
    </xf>
    <xf numFmtId="164" fontId="83" fillId="0" borderId="0" xfId="4" applyNumberFormat="1" applyFont="1"/>
    <xf numFmtId="49" fontId="104" fillId="0" borderId="0" xfId="44" applyNumberFormat="1" applyFont="1"/>
    <xf numFmtId="0" fontId="101" fillId="0" borderId="0" xfId="44"/>
    <xf numFmtId="43" fontId="0" fillId="0" borderId="0" xfId="45" applyFont="1"/>
    <xf numFmtId="0" fontId="1" fillId="0" borderId="0" xfId="46"/>
    <xf numFmtId="49" fontId="121" fillId="0" borderId="0" xfId="44" applyNumberFormat="1" applyFont="1"/>
    <xf numFmtId="0" fontId="104" fillId="0" borderId="0" xfId="44" applyFont="1"/>
    <xf numFmtId="0" fontId="54" fillId="0" borderId="0" xfId="44" applyFont="1"/>
    <xf numFmtId="0" fontId="101" fillId="0" borderId="0" xfId="44" quotePrefix="1"/>
    <xf numFmtId="190" fontId="0" fillId="0" borderId="0" xfId="47" applyNumberFormat="1" applyFont="1"/>
    <xf numFmtId="43" fontId="4" fillId="0" borderId="0" xfId="45" applyFont="1" applyAlignment="1">
      <alignment horizontal="center"/>
    </xf>
    <xf numFmtId="179" fontId="0" fillId="5" borderId="0" xfId="47" applyNumberFormat="1" applyFont="1" applyFill="1" applyAlignment="1">
      <alignment horizontal="center"/>
    </xf>
    <xf numFmtId="179" fontId="0" fillId="0" borderId="0" xfId="47" applyNumberFormat="1" applyFont="1"/>
    <xf numFmtId="0" fontId="101" fillId="0" borderId="62" xfId="44" applyBorder="1"/>
    <xf numFmtId="0" fontId="101" fillId="0" borderId="62" xfId="44" applyBorder="1" applyAlignment="1">
      <alignment horizontal="center" wrapText="1"/>
    </xf>
    <xf numFmtId="0" fontId="101" fillId="0" borderId="62" xfId="44" applyBorder="1" applyAlignment="1">
      <alignment horizontal="center"/>
    </xf>
    <xf numFmtId="0" fontId="104" fillId="0" borderId="62" xfId="44" applyFont="1" applyBorder="1" applyAlignment="1">
      <alignment horizontal="center"/>
    </xf>
    <xf numFmtId="43" fontId="43" fillId="0" borderId="62" xfId="45" applyFont="1" applyBorder="1" applyAlignment="1">
      <alignment horizontal="center" wrapText="1"/>
    </xf>
    <xf numFmtId="0" fontId="104" fillId="0" borderId="62" xfId="44" applyFont="1" applyBorder="1" applyAlignment="1">
      <alignment horizontal="center" wrapText="1"/>
    </xf>
    <xf numFmtId="0" fontId="49" fillId="0" borderId="62" xfId="44" quotePrefix="1" applyFont="1" applyBorder="1"/>
    <xf numFmtId="0" fontId="49" fillId="0" borderId="62" xfId="44" applyFont="1" applyBorder="1"/>
    <xf numFmtId="43" fontId="49" fillId="0" borderId="62" xfId="45" applyFont="1" applyBorder="1"/>
    <xf numFmtId="0" fontId="101" fillId="0" borderId="62" xfId="44" applyBorder="1" applyAlignment="1">
      <alignment wrapText="1"/>
    </xf>
    <xf numFmtId="164" fontId="54" fillId="0" borderId="62" xfId="48" applyNumberFormat="1" applyFont="1" applyBorder="1"/>
    <xf numFmtId="164" fontId="54" fillId="0" borderId="62" xfId="44" applyNumberFormat="1" applyFont="1" applyBorder="1"/>
    <xf numFmtId="164" fontId="54" fillId="0" borderId="62" xfId="49" applyNumberFormat="1" applyFont="1" applyBorder="1"/>
    <xf numFmtId="164" fontId="101" fillId="0" borderId="62" xfId="44" applyNumberFormat="1" applyBorder="1"/>
    <xf numFmtId="164" fontId="49" fillId="0" borderId="62" xfId="45" applyNumberFormat="1" applyFont="1" applyBorder="1"/>
    <xf numFmtId="164" fontId="43" fillId="0" borderId="62" xfId="45" applyNumberFormat="1" applyFont="1" applyBorder="1"/>
    <xf numFmtId="43" fontId="43" fillId="0" borderId="62" xfId="45" applyFont="1" applyBorder="1"/>
    <xf numFmtId="164" fontId="54" fillId="0" borderId="62" xfId="49" applyNumberFormat="1" applyFont="1" applyFill="1" applyBorder="1"/>
    <xf numFmtId="0" fontId="122" fillId="0" borderId="62" xfId="46" applyFont="1" applyBorder="1"/>
    <xf numFmtId="0" fontId="1" fillId="0" borderId="62" xfId="46" applyBorder="1"/>
    <xf numFmtId="164" fontId="101" fillId="0" borderId="62" xfId="45" applyNumberFormat="1" applyFont="1" applyFill="1" applyBorder="1"/>
    <xf numFmtId="43" fontId="49" fillId="0" borderId="62" xfId="45" applyFont="1" applyFill="1" applyBorder="1"/>
    <xf numFmtId="164" fontId="49" fillId="0" borderId="62" xfId="45" applyNumberFormat="1" applyFont="1" applyFill="1" applyBorder="1"/>
    <xf numFmtId="164" fontId="104" fillId="0" borderId="62" xfId="45" applyNumberFormat="1" applyFont="1" applyFill="1" applyBorder="1"/>
    <xf numFmtId="43" fontId="43" fillId="0" borderId="62" xfId="45" applyFont="1" applyFill="1" applyBorder="1"/>
    <xf numFmtId="164" fontId="101" fillId="0" borderId="62" xfId="45" applyNumberFormat="1" applyFont="1" applyBorder="1"/>
    <xf numFmtId="164" fontId="104" fillId="0" borderId="62" xfId="45" applyNumberFormat="1" applyFont="1" applyBorder="1"/>
    <xf numFmtId="0" fontId="121" fillId="0" borderId="0" xfId="0" applyFont="1"/>
    <xf numFmtId="0" fontId="67" fillId="13" borderId="24" xfId="0" applyFont="1" applyFill="1" applyBorder="1" applyAlignment="1">
      <alignment horizontal="center"/>
    </xf>
    <xf numFmtId="0" fontId="67" fillId="13" borderId="24" xfId="0" applyFont="1" applyFill="1" applyBorder="1"/>
    <xf numFmtId="0" fontId="67" fillId="13" borderId="24" xfId="0" applyFont="1" applyFill="1" applyBorder="1" applyAlignment="1">
      <alignment horizontal="center" wrapText="1"/>
    </xf>
    <xf numFmtId="0" fontId="4" fillId="0" borderId="62" xfId="0" applyFont="1" applyBorder="1" applyAlignment="1">
      <alignment horizontal="center"/>
    </xf>
    <xf numFmtId="0" fontId="4" fillId="0" borderId="62" xfId="0" applyFont="1" applyBorder="1"/>
    <xf numFmtId="10" fontId="10" fillId="3" borderId="62" xfId="3" applyNumberFormat="1" applyFont="1" applyFill="1" applyBorder="1"/>
    <xf numFmtId="38" fontId="10" fillId="3" borderId="62" xfId="0" applyNumberFormat="1" applyFont="1" applyFill="1" applyBorder="1"/>
    <xf numFmtId="0" fontId="4" fillId="0" borderId="62" xfId="0" applyFont="1" applyBorder="1" applyAlignment="1">
      <alignment horizontal="center" vertical="top"/>
    </xf>
    <xf numFmtId="0" fontId="4" fillId="0" borderId="62" xfId="0" applyFont="1" applyBorder="1" applyAlignment="1">
      <alignment vertical="top"/>
    </xf>
    <xf numFmtId="38" fontId="10" fillId="3" borderId="62" xfId="0" applyNumberFormat="1" applyFont="1" applyFill="1" applyBorder="1" applyAlignment="1">
      <alignment vertical="top"/>
    </xf>
    <xf numFmtId="0" fontId="0" fillId="0" borderId="0" xfId="0" applyAlignment="1">
      <alignment vertical="top"/>
    </xf>
    <xf numFmtId="37" fontId="10" fillId="3" borderId="62" xfId="0" applyNumberFormat="1" applyFont="1" applyFill="1" applyBorder="1"/>
    <xf numFmtId="0" fontId="123" fillId="0" borderId="0" xfId="0" applyFont="1" applyAlignment="1">
      <alignment horizontal="left"/>
    </xf>
    <xf numFmtId="0" fontId="124" fillId="0" borderId="38" xfId="0" applyFont="1" applyBorder="1" applyAlignment="1">
      <alignment horizontal="center"/>
    </xf>
    <xf numFmtId="0" fontId="125" fillId="0" borderId="0" xfId="0" applyFont="1" applyAlignment="1">
      <alignment vertical="center"/>
    </xf>
    <xf numFmtId="0" fontId="126" fillId="0" borderId="22" xfId="0" applyFont="1" applyBorder="1" applyAlignment="1">
      <alignment vertical="center"/>
    </xf>
    <xf numFmtId="0" fontId="126" fillId="0" borderId="0" xfId="0" applyFont="1" applyAlignment="1">
      <alignment horizontal="center"/>
    </xf>
    <xf numFmtId="0" fontId="126" fillId="0" borderId="0" xfId="0" applyFont="1" applyAlignment="1">
      <alignment horizontal="right"/>
    </xf>
    <xf numFmtId="0" fontId="52" fillId="0" borderId="0" xfId="0" applyFont="1" applyAlignment="1">
      <alignment horizontal="center"/>
    </xf>
    <xf numFmtId="0" fontId="52" fillId="0" borderId="39" xfId="0" applyFont="1" applyBorder="1" applyAlignment="1">
      <alignment horizontal="center"/>
    </xf>
    <xf numFmtId="0" fontId="0" fillId="0" borderId="7" xfId="0" applyBorder="1" applyAlignment="1">
      <alignment horizontal="center"/>
    </xf>
    <xf numFmtId="37" fontId="0" fillId="0" borderId="8" xfId="0" applyNumberFormat="1" applyBorder="1"/>
    <xf numFmtId="0" fontId="0" fillId="0" borderId="29" xfId="0" applyBorder="1"/>
    <xf numFmtId="0" fontId="9" fillId="3" borderId="8" xfId="8" applyFont="1" applyFill="1" applyBorder="1" applyAlignment="1">
      <alignment horizontal="left"/>
    </xf>
    <xf numFmtId="0" fontId="0" fillId="0" borderId="61" xfId="0" applyBorder="1" applyAlignment="1">
      <alignment horizontal="center"/>
    </xf>
    <xf numFmtId="0" fontId="0" fillId="0" borderId="62" xfId="0" applyBorder="1"/>
    <xf numFmtId="0" fontId="9" fillId="3" borderId="62" xfId="8" applyFont="1" applyFill="1" applyBorder="1" applyAlignment="1">
      <alignment horizontal="left"/>
    </xf>
    <xf numFmtId="0" fontId="4" fillId="0" borderId="62" xfId="8" applyBorder="1"/>
    <xf numFmtId="0" fontId="4" fillId="0" borderId="29" xfId="8" applyBorder="1"/>
    <xf numFmtId="37" fontId="0" fillId="0" borderId="29" xfId="0" applyNumberFormat="1" applyBorder="1"/>
    <xf numFmtId="37" fontId="0" fillId="0" borderId="62" xfId="0" applyNumberFormat="1" applyBorder="1"/>
    <xf numFmtId="0" fontId="9" fillId="0" borderId="62" xfId="8" applyFont="1" applyBorder="1" applyAlignment="1">
      <alignment horizontal="left"/>
    </xf>
    <xf numFmtId="37" fontId="4" fillId="0" borderId="62" xfId="8" quotePrefix="1" applyNumberFormat="1" applyBorder="1" applyAlignment="1">
      <alignment horizontal="left"/>
    </xf>
    <xf numFmtId="37" fontId="4" fillId="0" borderId="62" xfId="8" quotePrefix="1" applyNumberFormat="1" applyBorder="1" applyAlignment="1">
      <alignment horizontal="right"/>
    </xf>
    <xf numFmtId="0" fontId="9" fillId="0" borderId="62" xfId="0" applyFont="1" applyBorder="1" applyAlignment="1">
      <alignment horizontal="left"/>
    </xf>
    <xf numFmtId="38" fontId="9" fillId="0" borderId="63" xfId="0" applyNumberFormat="1" applyFont="1" applyBorder="1"/>
    <xf numFmtId="37" fontId="9" fillId="0" borderId="62" xfId="8" quotePrefix="1" applyNumberFormat="1" applyFont="1" applyBorder="1" applyAlignment="1">
      <alignment horizontal="left"/>
    </xf>
    <xf numFmtId="0" fontId="0" fillId="0" borderId="29" xfId="0" applyBorder="1" applyAlignment="1">
      <alignment horizontal="left"/>
    </xf>
    <xf numFmtId="41" fontId="0" fillId="0" borderId="62" xfId="0" applyNumberFormat="1" applyBorder="1"/>
    <xf numFmtId="0" fontId="9" fillId="3" borderId="62" xfId="0" applyFont="1" applyFill="1" applyBorder="1" applyAlignment="1">
      <alignment horizontal="left"/>
    </xf>
    <xf numFmtId="164" fontId="4" fillId="0" borderId="62" xfId="5" quotePrefix="1" applyNumberFormat="1" applyFont="1" applyFill="1" applyBorder="1" applyAlignment="1">
      <alignment horizontal="left"/>
    </xf>
    <xf numFmtId="37" fontId="4" fillId="0" borderId="62" xfId="0" applyNumberFormat="1" applyFont="1" applyBorder="1"/>
    <xf numFmtId="38" fontId="4" fillId="0" borderId="62" xfId="0" quotePrefix="1" applyNumberFormat="1" applyFont="1" applyBorder="1"/>
    <xf numFmtId="38" fontId="0" fillId="0" borderId="0" xfId="0" applyNumberFormat="1"/>
    <xf numFmtId="0" fontId="67" fillId="13" borderId="24" xfId="0" applyFont="1" applyFill="1" applyBorder="1" applyAlignment="1">
      <alignment horizontal="center" vertical="center"/>
    </xf>
    <xf numFmtId="0" fontId="67" fillId="13" borderId="21" xfId="0" applyFont="1" applyFill="1" applyBorder="1"/>
    <xf numFmtId="0" fontId="67" fillId="13" borderId="22" xfId="0" applyFont="1" applyFill="1" applyBorder="1"/>
    <xf numFmtId="0" fontId="52" fillId="0" borderId="0" xfId="0" applyFont="1" applyAlignment="1">
      <alignment vertical="center"/>
    </xf>
    <xf numFmtId="0" fontId="52" fillId="0" borderId="0" xfId="0" applyFont="1" applyAlignment="1">
      <alignment horizontal="center" vertical="center"/>
    </xf>
    <xf numFmtId="0" fontId="10" fillId="0" borderId="0" xfId="0" applyFont="1" applyAlignment="1">
      <alignment horizontal="center" wrapText="1"/>
    </xf>
    <xf numFmtId="0" fontId="9" fillId="0" borderId="64" xfId="0" applyFont="1" applyBorder="1" applyAlignment="1">
      <alignment horizontal="left" vertical="top" wrapText="1"/>
    </xf>
    <xf numFmtId="0" fontId="0" fillId="0" borderId="62" xfId="0" applyBorder="1" applyAlignment="1">
      <alignment vertical="top"/>
    </xf>
    <xf numFmtId="0" fontId="0" fillId="0" borderId="0" xfId="0" applyAlignment="1">
      <alignment vertical="center"/>
    </xf>
    <xf numFmtId="37" fontId="0" fillId="0" borderId="0" xfId="0" applyNumberFormat="1" applyAlignment="1">
      <alignment vertical="center"/>
    </xf>
    <xf numFmtId="0" fontId="4" fillId="0" borderId="62" xfId="0" applyFont="1" applyBorder="1" applyAlignment="1">
      <alignment vertical="top" wrapText="1"/>
    </xf>
    <xf numFmtId="17" fontId="0" fillId="0" borderId="0" xfId="0" applyNumberFormat="1"/>
    <xf numFmtId="164" fontId="0" fillId="0" borderId="0" xfId="5" applyNumberFormat="1" applyFont="1" applyAlignment="1">
      <alignment horizontal="left"/>
    </xf>
    <xf numFmtId="164" fontId="0" fillId="0" borderId="0" xfId="0" applyNumberFormat="1" applyAlignment="1">
      <alignment horizontal="left"/>
    </xf>
    <xf numFmtId="0" fontId="129" fillId="0" borderId="0" xfId="0" applyFont="1"/>
    <xf numFmtId="3" fontId="4" fillId="0" borderId="0" xfId="0" applyNumberFormat="1" applyFont="1"/>
    <xf numFmtId="0" fontId="52" fillId="0" borderId="0" xfId="0" applyFont="1" applyAlignment="1">
      <alignment horizontal="centerContinuous"/>
    </xf>
    <xf numFmtId="0" fontId="52" fillId="0" borderId="0" xfId="0" applyFont="1"/>
    <xf numFmtId="0" fontId="73" fillId="0" borderId="0" xfId="12"/>
    <xf numFmtId="0" fontId="130" fillId="0" borderId="0" xfId="12" applyFont="1"/>
    <xf numFmtId="0" fontId="131" fillId="14" borderId="62" xfId="12" applyFont="1" applyFill="1" applyBorder="1" applyAlignment="1">
      <alignment horizontal="center" vertical="center"/>
    </xf>
    <xf numFmtId="0" fontId="131" fillId="14" borderId="62" xfId="12" applyFont="1" applyFill="1" applyBorder="1" applyAlignment="1">
      <alignment vertical="center"/>
    </xf>
    <xf numFmtId="0" fontId="132" fillId="0" borderId="62" xfId="12" applyFont="1" applyBorder="1" applyAlignment="1">
      <alignment horizontal="right" vertical="center" wrapText="1"/>
    </xf>
    <xf numFmtId="191" fontId="133" fillId="0" borderId="62" xfId="12" applyNumberFormat="1" applyFont="1" applyBorder="1" applyAlignment="1">
      <alignment vertical="center" wrapText="1"/>
    </xf>
    <xf numFmtId="0" fontId="132" fillId="0" borderId="62" xfId="12" applyFont="1" applyBorder="1" applyAlignment="1">
      <alignment vertical="center" wrapText="1"/>
    </xf>
    <xf numFmtId="191" fontId="132" fillId="0" borderId="62" xfId="12" applyNumberFormat="1" applyFont="1" applyBorder="1" applyAlignment="1">
      <alignment horizontal="right" vertical="center" wrapText="1"/>
    </xf>
    <xf numFmtId="191" fontId="132" fillId="0" borderId="62" xfId="12" applyNumberFormat="1" applyFont="1" applyBorder="1" applyAlignment="1">
      <alignment vertical="center" wrapText="1"/>
    </xf>
    <xf numFmtId="0" fontId="132" fillId="6" borderId="62" xfId="12" applyFont="1" applyFill="1" applyBorder="1" applyAlignment="1">
      <alignment horizontal="right" vertical="center" wrapText="1"/>
    </xf>
    <xf numFmtId="0" fontId="132" fillId="6" borderId="62" xfId="12" applyFont="1" applyFill="1" applyBorder="1" applyAlignment="1">
      <alignment vertical="center" wrapText="1"/>
    </xf>
    <xf numFmtId="0" fontId="4" fillId="15" borderId="62" xfId="0" applyFont="1" applyFill="1" applyBorder="1"/>
    <xf numFmtId="10" fontId="10" fillId="15" borderId="62" xfId="3" applyNumberFormat="1" applyFont="1" applyFill="1" applyBorder="1"/>
    <xf numFmtId="38" fontId="10" fillId="15" borderId="62" xfId="0" applyNumberFormat="1" applyFont="1" applyFill="1" applyBorder="1"/>
    <xf numFmtId="0" fontId="4" fillId="15" borderId="62" xfId="0" applyFont="1" applyFill="1" applyBorder="1" applyAlignment="1">
      <alignment vertical="top"/>
    </xf>
    <xf numFmtId="38" fontId="10" fillId="15" borderId="62" xfId="0" applyNumberFormat="1" applyFont="1" applyFill="1" applyBorder="1" applyAlignment="1">
      <alignment vertical="top"/>
    </xf>
    <xf numFmtId="0" fontId="0" fillId="15" borderId="62" xfId="0" applyFill="1" applyBorder="1" applyAlignment="1">
      <alignment horizontal="left"/>
    </xf>
    <xf numFmtId="0" fontId="0" fillId="15" borderId="64" xfId="3" applyNumberFormat="1" applyFont="1" applyFill="1" applyBorder="1" applyAlignment="1">
      <alignment horizontal="center"/>
    </xf>
    <xf numFmtId="0" fontId="9" fillId="15" borderId="62" xfId="0" applyFont="1" applyFill="1" applyBorder="1" applyAlignment="1">
      <alignment horizontal="left"/>
    </xf>
    <xf numFmtId="38" fontId="4" fillId="15" borderId="62" xfId="0" quotePrefix="1" applyNumberFormat="1" applyFont="1" applyFill="1" applyBorder="1" applyAlignment="1">
      <alignment horizontal="left"/>
    </xf>
    <xf numFmtId="0" fontId="4" fillId="15" borderId="62" xfId="0" applyFont="1" applyFill="1" applyBorder="1" applyAlignment="1">
      <alignment horizontal="center"/>
    </xf>
    <xf numFmtId="37" fontId="4" fillId="15" borderId="62" xfId="0" quotePrefix="1" applyNumberFormat="1" applyFont="1" applyFill="1" applyBorder="1" applyAlignment="1">
      <alignment horizontal="left" vertical="top"/>
    </xf>
    <xf numFmtId="0" fontId="4" fillId="15" borderId="62" xfId="0" applyFont="1" applyFill="1" applyBorder="1" applyAlignment="1">
      <alignment horizontal="center" vertical="top"/>
    </xf>
    <xf numFmtId="0" fontId="9" fillId="15" borderId="62" xfId="0" applyFont="1" applyFill="1" applyBorder="1" applyAlignment="1">
      <alignment horizontal="left" vertical="top"/>
    </xf>
    <xf numFmtId="38" fontId="4" fillId="15" borderId="62" xfId="0" quotePrefix="1" applyNumberFormat="1" applyFont="1" applyFill="1" applyBorder="1"/>
    <xf numFmtId="0" fontId="0" fillId="15" borderId="62" xfId="3" applyNumberFormat="1" applyFont="1" applyFill="1" applyBorder="1" applyAlignment="1">
      <alignment horizontal="center"/>
    </xf>
    <xf numFmtId="37" fontId="0" fillId="15" borderId="8" xfId="0" applyNumberFormat="1" applyFill="1" applyBorder="1"/>
    <xf numFmtId="37" fontId="0" fillId="15" borderId="62" xfId="0" applyNumberFormat="1" applyFill="1" applyBorder="1"/>
    <xf numFmtId="37" fontId="0" fillId="15" borderId="29" xfId="0" applyNumberFormat="1" applyFill="1" applyBorder="1"/>
    <xf numFmtId="37" fontId="4" fillId="15" borderId="8" xfId="8" quotePrefix="1" applyNumberFormat="1" applyFill="1" applyBorder="1" applyAlignment="1">
      <alignment horizontal="left"/>
    </xf>
    <xf numFmtId="37" fontId="4" fillId="15" borderId="8" xfId="8" quotePrefix="1" applyNumberFormat="1" applyFill="1" applyBorder="1" applyAlignment="1">
      <alignment horizontal="right"/>
    </xf>
    <xf numFmtId="37" fontId="4" fillId="15" borderId="62" xfId="8" quotePrefix="1" applyNumberFormat="1" applyFill="1" applyBorder="1" applyAlignment="1">
      <alignment horizontal="left"/>
    </xf>
    <xf numFmtId="37" fontId="4" fillId="15" borderId="62" xfId="8" quotePrefix="1" applyNumberFormat="1" applyFill="1" applyBorder="1" applyAlignment="1">
      <alignment horizontal="right"/>
    </xf>
    <xf numFmtId="37" fontId="9" fillId="15" borderId="29" xfId="0" applyNumberFormat="1" applyFont="1" applyFill="1" applyBorder="1"/>
    <xf numFmtId="164" fontId="4" fillId="15" borderId="62" xfId="5" quotePrefix="1" applyNumberFormat="1" applyFont="1" applyFill="1" applyBorder="1" applyAlignment="1">
      <alignment horizontal="left"/>
    </xf>
    <xf numFmtId="37" fontId="4" fillId="15" borderId="62" xfId="0" applyNumberFormat="1" applyFont="1" applyFill="1" applyBorder="1"/>
    <xf numFmtId="38" fontId="9" fillId="15" borderId="63" xfId="0" applyNumberFormat="1" applyFont="1" applyFill="1" applyBorder="1"/>
    <xf numFmtId="37" fontId="9" fillId="15" borderId="62" xfId="8" quotePrefix="1" applyNumberFormat="1" applyFont="1" applyFill="1" applyBorder="1" applyAlignment="1">
      <alignment horizontal="left"/>
    </xf>
    <xf numFmtId="0" fontId="9" fillId="15" borderId="8" xfId="0" applyFont="1" applyFill="1" applyBorder="1" applyAlignment="1">
      <alignment horizontal="left"/>
    </xf>
    <xf numFmtId="38" fontId="9" fillId="15" borderId="9" xfId="0" applyNumberFormat="1" applyFont="1" applyFill="1" applyBorder="1"/>
    <xf numFmtId="0" fontId="9" fillId="15" borderId="62" xfId="0" applyFont="1" applyFill="1" applyBorder="1"/>
    <xf numFmtId="0" fontId="9" fillId="15" borderId="62" xfId="0" applyFont="1" applyFill="1" applyBorder="1" applyAlignment="1">
      <alignment vertical="top" wrapText="1"/>
    </xf>
    <xf numFmtId="37" fontId="18" fillId="0" borderId="0" xfId="0" applyNumberFormat="1" applyFont="1"/>
    <xf numFmtId="0" fontId="4" fillId="0" borderId="0" xfId="8" applyAlignment="1">
      <alignment wrapText="1"/>
    </xf>
    <xf numFmtId="0" fontId="35" fillId="0" borderId="0" xfId="8" applyFont="1"/>
    <xf numFmtId="37" fontId="3" fillId="0" borderId="77" xfId="13" applyNumberFormat="1" applyFont="1" applyFill="1" applyBorder="1" applyAlignment="1">
      <alignment horizontal="right"/>
    </xf>
    <xf numFmtId="37" fontId="7" fillId="0" borderId="77" xfId="13" applyNumberFormat="1" applyFont="1" applyFill="1" applyBorder="1" applyAlignment="1">
      <alignment horizontal="right"/>
    </xf>
    <xf numFmtId="177" fontId="52" fillId="3" borderId="64" xfId="9" applyNumberFormat="1" applyFont="1" applyFill="1" applyBorder="1" applyAlignment="1" applyProtection="1">
      <alignment horizontal="left"/>
      <protection locked="0"/>
    </xf>
    <xf numFmtId="177" fontId="52" fillId="3" borderId="74" xfId="9" applyNumberFormat="1" applyFont="1" applyFill="1" applyBorder="1" applyAlignment="1" applyProtection="1">
      <alignment horizontal="left"/>
      <protection locked="0"/>
    </xf>
    <xf numFmtId="37" fontId="56" fillId="3" borderId="62" xfId="8" applyNumberFormat="1" applyFont="1" applyFill="1" applyBorder="1" applyAlignment="1">
      <alignment wrapText="1"/>
    </xf>
    <xf numFmtId="37" fontId="9" fillId="3" borderId="62" xfId="8" applyNumberFormat="1" applyFont="1" applyFill="1" applyBorder="1" applyAlignment="1">
      <alignment wrapText="1"/>
    </xf>
    <xf numFmtId="0" fontId="57" fillId="3" borderId="62" xfId="8" applyFont="1" applyFill="1" applyBorder="1" applyAlignment="1">
      <alignment horizontal="left" vertical="top" wrapText="1"/>
    </xf>
    <xf numFmtId="0" fontId="52" fillId="3" borderId="64" xfId="10" applyFont="1" applyFill="1" applyBorder="1" applyAlignment="1">
      <alignment horizontal="left"/>
    </xf>
    <xf numFmtId="0" fontId="52" fillId="3" borderId="74" xfId="10" applyFont="1" applyFill="1" applyBorder="1" applyAlignment="1">
      <alignment horizontal="left"/>
    </xf>
    <xf numFmtId="0" fontId="52" fillId="3" borderId="74" xfId="10" applyFont="1" applyFill="1" applyBorder="1" applyAlignment="1">
      <alignment horizontal="left" wrapText="1"/>
    </xf>
    <xf numFmtId="0" fontId="52" fillId="3" borderId="62" xfId="10" applyFont="1" applyFill="1" applyBorder="1" applyAlignment="1">
      <alignment wrapText="1"/>
    </xf>
    <xf numFmtId="37" fontId="57" fillId="3" borderId="76" xfId="8" applyNumberFormat="1" applyFont="1" applyFill="1" applyBorder="1" applyAlignment="1">
      <alignment vertical="top"/>
    </xf>
    <xf numFmtId="37" fontId="9" fillId="3" borderId="62" xfId="5" applyNumberFormat="1" applyFont="1" applyFill="1" applyBorder="1" applyAlignment="1">
      <alignment horizontal="right"/>
    </xf>
    <xf numFmtId="37" fontId="4" fillId="0" borderId="62" xfId="5" applyNumberFormat="1" applyFont="1" applyFill="1" applyBorder="1" applyAlignment="1">
      <alignment horizontal="right"/>
    </xf>
    <xf numFmtId="37" fontId="4" fillId="0" borderId="74" xfId="8" applyNumberFormat="1" applyBorder="1"/>
    <xf numFmtId="0" fontId="43" fillId="0" borderId="0" xfId="8" applyFont="1"/>
    <xf numFmtId="37" fontId="52" fillId="0" borderId="62" xfId="5" applyNumberFormat="1" applyFont="1" applyFill="1" applyBorder="1" applyAlignment="1"/>
    <xf numFmtId="164" fontId="98" fillId="3" borderId="38" xfId="22" applyNumberFormat="1" applyFont="1" applyFill="1" applyBorder="1" applyAlignment="1">
      <alignment horizontal="center" vertical="center" wrapText="1"/>
    </xf>
    <xf numFmtId="164" fontId="98" fillId="3" borderId="0" xfId="22" applyNumberFormat="1" applyFont="1" applyFill="1" applyBorder="1" applyAlignment="1">
      <alignment horizontal="center" vertical="center" wrapText="1"/>
    </xf>
    <xf numFmtId="164" fontId="98" fillId="3" borderId="11" xfId="22" applyNumberFormat="1" applyFont="1" applyFill="1" applyBorder="1" applyAlignment="1">
      <alignment horizontal="center" vertical="center" wrapText="1"/>
    </xf>
    <xf numFmtId="164" fontId="98" fillId="3" borderId="1" xfId="22" applyNumberFormat="1" applyFont="1" applyFill="1" applyBorder="1" applyAlignment="1">
      <alignment horizontal="center" vertical="center" wrapText="1"/>
    </xf>
    <xf numFmtId="0" fontId="0" fillId="0" borderId="22" xfId="0" applyBorder="1" applyAlignment="1">
      <alignment horizontal="center" wrapText="1"/>
    </xf>
    <xf numFmtId="10" fontId="0" fillId="0" borderId="0" xfId="3" applyNumberFormat="1" applyFont="1"/>
    <xf numFmtId="0" fontId="0" fillId="0" borderId="78" xfId="0" applyBorder="1"/>
    <xf numFmtId="189" fontId="84" fillId="0" borderId="65" xfId="4" applyNumberFormat="1" applyFont="1" applyBorder="1" applyAlignment="1">
      <alignment horizontal="center"/>
    </xf>
    <xf numFmtId="0" fontId="84" fillId="0" borderId="79" xfId="4" applyFont="1" applyBorder="1" applyAlignment="1">
      <alignment horizontal="center"/>
    </xf>
    <xf numFmtId="164" fontId="0" fillId="0" borderId="0" xfId="0" applyNumberFormat="1"/>
    <xf numFmtId="164" fontId="4" fillId="0" borderId="0" xfId="5" applyNumberFormat="1" applyFill="1" applyBorder="1"/>
    <xf numFmtId="37" fontId="52" fillId="0" borderId="64" xfId="5" applyNumberFormat="1" applyFont="1" applyFill="1" applyBorder="1" applyAlignment="1"/>
    <xf numFmtId="43" fontId="3" fillId="0" borderId="0" xfId="5" applyFont="1" applyFill="1"/>
    <xf numFmtId="43" fontId="4" fillId="0" borderId="0" xfId="5" applyFont="1" applyFill="1"/>
    <xf numFmtId="0" fontId="3" fillId="0" borderId="0" xfId="5" applyNumberFormat="1" applyFont="1" applyFill="1"/>
    <xf numFmtId="37" fontId="134" fillId="3" borderId="2" xfId="38" quotePrefix="1" applyNumberFormat="1" applyFont="1" applyFill="1" applyBorder="1" applyAlignment="1" applyProtection="1">
      <alignment horizontal="right" vertical="center"/>
      <protection locked="0"/>
    </xf>
    <xf numFmtId="37" fontId="134" fillId="3" borderId="47" xfId="38" quotePrefix="1" applyNumberFormat="1" applyFont="1" applyFill="1" applyBorder="1" applyAlignment="1" applyProtection="1">
      <alignment horizontal="right" vertical="center"/>
      <protection locked="0"/>
    </xf>
    <xf numFmtId="37" fontId="134" fillId="3" borderId="31" xfId="38" quotePrefix="1" applyNumberFormat="1" applyFont="1" applyFill="1" applyBorder="1" applyAlignment="1" applyProtection="1">
      <alignment horizontal="right" vertical="center"/>
      <protection locked="0"/>
    </xf>
    <xf numFmtId="37" fontId="134" fillId="3" borderId="52" xfId="38" quotePrefix="1" applyNumberFormat="1" applyFont="1" applyFill="1" applyBorder="1" applyAlignment="1" applyProtection="1">
      <alignment horizontal="right" vertical="center"/>
      <protection locked="0"/>
    </xf>
    <xf numFmtId="37" fontId="134" fillId="3" borderId="13" xfId="38" quotePrefix="1" applyNumberFormat="1" applyFont="1" applyFill="1" applyBorder="1" applyAlignment="1" applyProtection="1">
      <alignment horizontal="right" vertical="center"/>
      <protection locked="0"/>
    </xf>
    <xf numFmtId="37" fontId="134" fillId="3" borderId="57" xfId="38" quotePrefix="1" applyNumberFormat="1" applyFont="1" applyFill="1" applyBorder="1" applyAlignment="1" applyProtection="1">
      <alignment horizontal="right" vertical="center"/>
      <protection locked="0"/>
    </xf>
    <xf numFmtId="4" fontId="101" fillId="0" borderId="0" xfId="23" applyNumberFormat="1" applyFont="1"/>
    <xf numFmtId="37" fontId="4" fillId="0" borderId="65" xfId="8" applyNumberFormat="1" applyBorder="1" applyAlignment="1">
      <alignment horizontal="right" wrapText="1"/>
    </xf>
    <xf numFmtId="191" fontId="132" fillId="16" borderId="62" xfId="12" applyNumberFormat="1" applyFont="1" applyFill="1" applyBorder="1" applyAlignment="1">
      <alignment horizontal="right" vertical="center" wrapText="1"/>
    </xf>
    <xf numFmtId="185" fontId="4" fillId="0" borderId="0" xfId="8" applyNumberFormat="1" applyAlignment="1">
      <alignment vertical="center"/>
    </xf>
    <xf numFmtId="186" fontId="96" fillId="0" borderId="21" xfId="21" applyNumberFormat="1" applyFont="1" applyFill="1" applyBorder="1"/>
    <xf numFmtId="186" fontId="96" fillId="0" borderId="22" xfId="21" applyNumberFormat="1" applyFont="1" applyFill="1" applyBorder="1"/>
    <xf numFmtId="193" fontId="98" fillId="3" borderId="38" xfId="20" applyNumberFormat="1" applyFont="1" applyFill="1" applyBorder="1" applyAlignment="1">
      <alignment horizontal="center"/>
    </xf>
    <xf numFmtId="37" fontId="101" fillId="0" borderId="65" xfId="34" applyNumberFormat="1" applyFont="1" applyBorder="1"/>
    <xf numFmtId="37" fontId="57" fillId="0" borderId="0" xfId="0" applyNumberFormat="1" applyFont="1"/>
    <xf numFmtId="37" fontId="103" fillId="0" borderId="74" xfId="0" applyNumberFormat="1" applyFont="1" applyBorder="1" applyAlignment="1">
      <alignment horizontal="centerContinuous"/>
    </xf>
    <xf numFmtId="37" fontId="103" fillId="0" borderId="65" xfId="0" applyNumberFormat="1" applyFont="1" applyBorder="1" applyAlignment="1">
      <alignment horizontal="centerContinuous"/>
    </xf>
    <xf numFmtId="37" fontId="103" fillId="0" borderId="20" xfId="0" applyNumberFormat="1" applyFont="1" applyBorder="1" applyAlignment="1">
      <alignment horizontal="center"/>
    </xf>
    <xf numFmtId="37" fontId="103" fillId="0" borderId="0" xfId="0" applyNumberFormat="1" applyFont="1" applyAlignment="1">
      <alignment horizontal="centerContinuous"/>
    </xf>
    <xf numFmtId="37" fontId="103" fillId="0" borderId="0" xfId="0" applyNumberFormat="1" applyFont="1"/>
    <xf numFmtId="37" fontId="103" fillId="0" borderId="74" xfId="0" applyNumberFormat="1" applyFont="1" applyBorder="1" applyAlignment="1">
      <alignment horizontal="left" indent="2"/>
    </xf>
    <xf numFmtId="37" fontId="62" fillId="0" borderId="0" xfId="8" applyNumberFormat="1" applyFont="1" applyAlignment="1">
      <alignment horizontal="left"/>
    </xf>
    <xf numFmtId="37" fontId="103" fillId="3" borderId="80" xfId="0" applyNumberFormat="1" applyFont="1" applyFill="1" applyBorder="1" applyAlignment="1">
      <alignment horizontal="center"/>
    </xf>
    <xf numFmtId="37" fontId="57" fillId="3" borderId="81" xfId="0" applyNumberFormat="1" applyFont="1" applyFill="1" applyBorder="1"/>
    <xf numFmtId="37" fontId="57" fillId="3" borderId="83" xfId="0" applyNumberFormat="1" applyFont="1" applyFill="1" applyBorder="1"/>
    <xf numFmtId="37" fontId="57" fillId="3" borderId="80" xfId="0" applyNumberFormat="1" applyFont="1" applyFill="1" applyBorder="1"/>
    <xf numFmtId="37" fontId="57" fillId="3" borderId="82" xfId="0" applyNumberFormat="1" applyFont="1" applyFill="1" applyBorder="1"/>
    <xf numFmtId="37" fontId="103" fillId="0" borderId="74" xfId="0" applyNumberFormat="1" applyFont="1" applyBorder="1"/>
    <xf numFmtId="164" fontId="83" fillId="0" borderId="65" xfId="4" applyNumberFormat="1" applyFont="1" applyBorder="1"/>
    <xf numFmtId="0" fontId="42" fillId="0" borderId="0" xfId="0" applyFont="1"/>
    <xf numFmtId="164" fontId="98" fillId="3" borderId="12" xfId="22" applyNumberFormat="1" applyFont="1" applyFill="1" applyBorder="1" applyAlignment="1">
      <alignment horizontal="center" vertical="center" wrapText="1"/>
    </xf>
    <xf numFmtId="0" fontId="0" fillId="0" borderId="0" xfId="0" applyAlignment="1">
      <alignment horizontal="center" wrapText="1"/>
    </xf>
    <xf numFmtId="0" fontId="62" fillId="0" borderId="0" xfId="8" applyFont="1"/>
    <xf numFmtId="37" fontId="3" fillId="0" borderId="0" xfId="5" applyNumberFormat="1" applyFont="1" applyFill="1"/>
    <xf numFmtId="10" fontId="7" fillId="0" borderId="0" xfId="3" applyNumberFormat="1" applyFont="1" applyFill="1" applyAlignment="1"/>
    <xf numFmtId="3" fontId="24" fillId="0" borderId="0" xfId="0" applyNumberFormat="1" applyFont="1" applyAlignment="1">
      <alignment horizontal="right"/>
    </xf>
    <xf numFmtId="3" fontId="31" fillId="0" borderId="0" xfId="0" applyNumberFormat="1" applyFont="1" applyAlignment="1">
      <alignment horizontal="right"/>
    </xf>
    <xf numFmtId="43" fontId="96" fillId="0" borderId="2" xfId="22" applyFont="1" applyFill="1" applyBorder="1" applyAlignment="1">
      <alignment horizontal="center"/>
    </xf>
    <xf numFmtId="164" fontId="98" fillId="3" borderId="3" xfId="22" applyNumberFormat="1" applyFont="1" applyFill="1" applyBorder="1" applyAlignment="1">
      <alignment horizontal="center" wrapText="1"/>
    </xf>
    <xf numFmtId="164" fontId="98" fillId="3" borderId="4" xfId="22" applyNumberFormat="1" applyFont="1" applyFill="1" applyBorder="1" applyAlignment="1">
      <alignment horizontal="center" wrapText="1"/>
    </xf>
    <xf numFmtId="193" fontId="98" fillId="3" borderId="47" xfId="20" applyNumberFormat="1" applyFont="1" applyFill="1" applyBorder="1" applyAlignment="1">
      <alignment horizontal="center"/>
    </xf>
    <xf numFmtId="0" fontId="98" fillId="3" borderId="11" xfId="20" applyFont="1" applyFill="1" applyBorder="1" applyAlignment="1">
      <alignment horizontal="center"/>
    </xf>
    <xf numFmtId="193" fontId="98" fillId="3" borderId="13" xfId="20" applyNumberFormat="1" applyFont="1" applyFill="1" applyBorder="1" applyAlignment="1">
      <alignment horizontal="center"/>
    </xf>
    <xf numFmtId="37" fontId="62" fillId="0" borderId="0" xfId="0" applyNumberFormat="1" applyFont="1" applyAlignment="1">
      <alignment horizontal="left"/>
    </xf>
    <xf numFmtId="37" fontId="62" fillId="0" borderId="0" xfId="0" applyNumberFormat="1" applyFont="1"/>
    <xf numFmtId="37" fontId="103" fillId="0" borderId="20" xfId="0" applyNumberFormat="1" applyFont="1" applyBorder="1" applyAlignment="1">
      <alignment horizontal="centerContinuous"/>
    </xf>
    <xf numFmtId="37" fontId="103" fillId="0" borderId="0" xfId="0" applyNumberFormat="1" applyFont="1" applyAlignment="1">
      <alignment horizontal="center"/>
    </xf>
    <xf numFmtId="182" fontId="57" fillId="3" borderId="81" xfId="0" applyNumberFormat="1" applyFont="1" applyFill="1" applyBorder="1" applyAlignment="1">
      <alignment horizontal="center"/>
    </xf>
    <xf numFmtId="182" fontId="57" fillId="3" borderId="81" xfId="0" quotePrefix="1" applyNumberFormat="1" applyFont="1" applyFill="1" applyBorder="1" applyAlignment="1">
      <alignment horizontal="center"/>
    </xf>
    <xf numFmtId="182" fontId="57" fillId="3" borderId="82" xfId="0" applyNumberFormat="1" applyFont="1" applyFill="1" applyBorder="1" applyAlignment="1">
      <alignment horizontal="center"/>
    </xf>
    <xf numFmtId="0" fontId="35" fillId="0" borderId="0" xfId="12" applyFont="1"/>
    <xf numFmtId="37" fontId="35" fillId="0" borderId="0" xfId="12" applyNumberFormat="1" applyFont="1"/>
    <xf numFmtId="0" fontId="74" fillId="0" borderId="0" xfId="12" applyFont="1"/>
    <xf numFmtId="0" fontId="52" fillId="0" borderId="21" xfId="28" applyFont="1" applyFill="1" applyBorder="1" applyAlignment="1" applyProtection="1">
      <alignment horizontal="center" wrapText="1"/>
      <protection locked="0"/>
    </xf>
    <xf numFmtId="37" fontId="52" fillId="0" borderId="20" xfId="0" applyNumberFormat="1" applyFont="1" applyBorder="1" applyAlignment="1">
      <alignment horizontal="centerContinuous"/>
    </xf>
    <xf numFmtId="37" fontId="52" fillId="0" borderId="0" xfId="0" applyNumberFormat="1" applyFont="1"/>
    <xf numFmtId="37" fontId="52" fillId="0" borderId="0" xfId="0" applyNumberFormat="1" applyFont="1" applyAlignment="1">
      <alignment horizontal="center"/>
    </xf>
    <xf numFmtId="37" fontId="4" fillId="0" borderId="0" xfId="0" applyNumberFormat="1" applyFont="1"/>
    <xf numFmtId="37" fontId="52" fillId="0" borderId="0" xfId="8" applyNumberFormat="1" applyFont="1" applyAlignment="1">
      <alignment horizontal="center"/>
    </xf>
    <xf numFmtId="37" fontId="52" fillId="0" borderId="20" xfId="8" applyNumberFormat="1" applyFont="1" applyBorder="1" applyAlignment="1">
      <alignment horizontal="center"/>
    </xf>
    <xf numFmtId="37" fontId="4" fillId="0" borderId="0" xfId="0" applyNumberFormat="1" applyFont="1" applyAlignment="1">
      <alignment horizontal="right"/>
    </xf>
    <xf numFmtId="37" fontId="4" fillId="0" borderId="0" xfId="0" applyNumberFormat="1" applyFont="1" applyAlignment="1">
      <alignment horizontal="center"/>
    </xf>
    <xf numFmtId="181" fontId="4" fillId="0" borderId="0" xfId="1" applyNumberFormat="1" applyFont="1" applyFill="1" applyAlignment="1">
      <alignment vertical="center"/>
    </xf>
    <xf numFmtId="181" fontId="4" fillId="0" borderId="0" xfId="1" applyNumberFormat="1" applyFont="1" applyFill="1"/>
    <xf numFmtId="181" fontId="4" fillId="0" borderId="0" xfId="1" applyNumberFormat="1" applyFont="1" applyFill="1" applyBorder="1" applyAlignment="1">
      <alignment vertical="center"/>
    </xf>
    <xf numFmtId="181" fontId="4" fillId="0" borderId="0" xfId="1" applyNumberFormat="1" applyFont="1" applyAlignment="1">
      <alignment vertical="center"/>
    </xf>
    <xf numFmtId="181" fontId="0" fillId="0" borderId="0" xfId="1" applyNumberFormat="1" applyFont="1"/>
    <xf numFmtId="0" fontId="52" fillId="0" borderId="0" xfId="18" applyFont="1"/>
    <xf numFmtId="0" fontId="4" fillId="0" borderId="0" xfId="18" applyAlignment="1">
      <alignment horizontal="centerContinuous"/>
    </xf>
    <xf numFmtId="0" fontId="4" fillId="0" borderId="48" xfId="18" applyBorder="1" applyAlignment="1">
      <alignment horizontal="center"/>
    </xf>
    <xf numFmtId="0" fontId="4" fillId="0" borderId="49" xfId="18" applyBorder="1" applyAlignment="1">
      <alignment horizontal="center"/>
    </xf>
    <xf numFmtId="0" fontId="4" fillId="0" borderId="50" xfId="18" applyBorder="1" applyAlignment="1">
      <alignment horizontal="center"/>
    </xf>
    <xf numFmtId="0" fontId="4" fillId="0" borderId="48" xfId="18" applyBorder="1" applyAlignment="1">
      <alignment horizontal="center" wrapText="1"/>
    </xf>
    <xf numFmtId="0" fontId="4" fillId="0" borderId="23" xfId="18" applyBorder="1" applyAlignment="1">
      <alignment horizontal="center" wrapText="1"/>
    </xf>
    <xf numFmtId="0" fontId="4" fillId="0" borderId="22" xfId="18" applyBorder="1" applyAlignment="1">
      <alignment vertical="top"/>
    </xf>
    <xf numFmtId="0" fontId="4" fillId="0" borderId="50" xfId="18" applyBorder="1" applyAlignment="1">
      <alignment horizontal="center" wrapText="1"/>
    </xf>
    <xf numFmtId="0" fontId="4" fillId="0" borderId="24" xfId="18" applyBorder="1" applyAlignment="1">
      <alignment horizontal="center" wrapText="1"/>
    </xf>
    <xf numFmtId="0" fontId="4" fillId="0" borderId="51" xfId="18" applyBorder="1"/>
    <xf numFmtId="0" fontId="4" fillId="0" borderId="31" xfId="18" applyBorder="1"/>
    <xf numFmtId="0" fontId="4" fillId="0" borderId="52" xfId="18" applyBorder="1"/>
    <xf numFmtId="0" fontId="4" fillId="0" borderId="51" xfId="18" applyBorder="1" applyAlignment="1">
      <alignment horizontal="center"/>
    </xf>
    <xf numFmtId="0" fontId="4" fillId="0" borderId="39" xfId="18" applyBorder="1" applyAlignment="1">
      <alignment horizontal="center"/>
    </xf>
    <xf numFmtId="0" fontId="4" fillId="0" borderId="47" xfId="18" applyBorder="1" applyAlignment="1">
      <alignment horizontal="center"/>
    </xf>
    <xf numFmtId="0" fontId="4" fillId="0" borderId="53" xfId="18" applyBorder="1" applyAlignment="1">
      <alignment horizontal="right" vertical="top"/>
    </xf>
    <xf numFmtId="0" fontId="4" fillId="0" borderId="54" xfId="18" applyBorder="1" applyAlignment="1">
      <alignment horizontal="right" vertical="top"/>
    </xf>
    <xf numFmtId="0" fontId="4" fillId="0" borderId="55" xfId="18" applyBorder="1" applyAlignment="1">
      <alignment vertical="top" wrapText="1"/>
    </xf>
    <xf numFmtId="10" fontId="4" fillId="0" borderId="2" xfId="18" applyNumberFormat="1" applyBorder="1" applyAlignment="1">
      <alignment horizontal="right" vertical="top"/>
    </xf>
    <xf numFmtId="0" fontId="4" fillId="0" borderId="51" xfId="18" applyBorder="1" applyAlignment="1">
      <alignment horizontal="right" vertical="top"/>
    </xf>
    <xf numFmtId="0" fontId="4" fillId="0" borderId="31" xfId="18" applyBorder="1" applyAlignment="1">
      <alignment horizontal="right" vertical="top"/>
    </xf>
    <xf numFmtId="0" fontId="4" fillId="0" borderId="52" xfId="18" applyBorder="1" applyAlignment="1">
      <alignment vertical="top" wrapText="1"/>
    </xf>
    <xf numFmtId="10" fontId="4" fillId="0" borderId="39" xfId="18" applyNumberFormat="1" applyBorder="1" applyAlignment="1">
      <alignment horizontal="right" vertical="top"/>
    </xf>
    <xf numFmtId="10" fontId="4" fillId="0" borderId="47" xfId="18" applyNumberFormat="1" applyBorder="1" applyAlignment="1">
      <alignment horizontal="right" vertical="top"/>
    </xf>
    <xf numFmtId="10" fontId="9" fillId="0" borderId="51" xfId="18" applyNumberFormat="1" applyFont="1" applyBorder="1" applyAlignment="1">
      <alignment horizontal="right" vertical="top"/>
    </xf>
    <xf numFmtId="2" fontId="4" fillId="0" borderId="39" xfId="18" applyNumberFormat="1" applyBorder="1" applyAlignment="1">
      <alignment horizontal="right" vertical="top"/>
    </xf>
    <xf numFmtId="0" fontId="4" fillId="0" borderId="56" xfId="18" applyBorder="1" applyAlignment="1">
      <alignment horizontal="right" vertical="top"/>
    </xf>
    <xf numFmtId="0" fontId="4" fillId="0" borderId="57" xfId="18" applyBorder="1" applyAlignment="1">
      <alignment horizontal="right" vertical="top"/>
    </xf>
    <xf numFmtId="0" fontId="4" fillId="0" borderId="58" xfId="18" applyBorder="1" applyAlignment="1">
      <alignment vertical="top" wrapText="1"/>
    </xf>
    <xf numFmtId="10" fontId="4" fillId="0" borderId="12" xfId="18" applyNumberFormat="1" applyBorder="1" applyAlignment="1">
      <alignment horizontal="right" vertical="top"/>
    </xf>
    <xf numFmtId="43" fontId="4" fillId="0" borderId="0" xfId="18" applyNumberFormat="1"/>
    <xf numFmtId="37" fontId="134" fillId="3" borderId="58" xfId="38" quotePrefix="1" applyNumberFormat="1" applyFont="1" applyFill="1" applyBorder="1" applyAlignment="1" applyProtection="1">
      <alignment horizontal="right" vertical="center"/>
      <protection locked="0"/>
    </xf>
    <xf numFmtId="0" fontId="9" fillId="0" borderId="29" xfId="8" applyFont="1" applyBorder="1"/>
    <xf numFmtId="43" fontId="98" fillId="3" borderId="1" xfId="21" applyFont="1" applyFill="1" applyBorder="1"/>
    <xf numFmtId="0" fontId="96" fillId="0" borderId="2" xfId="20" applyFont="1" applyBorder="1"/>
    <xf numFmtId="193" fontId="96" fillId="0" borderId="2" xfId="20" applyNumberFormat="1" applyFont="1" applyBorder="1"/>
    <xf numFmtId="193" fontId="96" fillId="0" borderId="47" xfId="20" applyNumberFormat="1" applyFont="1" applyBorder="1"/>
    <xf numFmtId="0" fontId="96" fillId="0" borderId="13" xfId="20" applyFont="1" applyBorder="1"/>
    <xf numFmtId="193" fontId="96" fillId="0" borderId="13" xfId="20" applyNumberFormat="1" applyFont="1" applyBorder="1"/>
    <xf numFmtId="3" fontId="3" fillId="0" borderId="0" xfId="12" applyNumberFormat="1" applyFont="1" applyAlignment="1">
      <alignment horizontal="right"/>
    </xf>
    <xf numFmtId="43" fontId="3" fillId="0" borderId="0" xfId="1" applyFont="1" applyFill="1"/>
    <xf numFmtId="0" fontId="55" fillId="0" borderId="0" xfId="8" applyFont="1"/>
    <xf numFmtId="0" fontId="10" fillId="0" borderId="0" xfId="8" applyFont="1" applyAlignment="1">
      <alignment horizontal="center" wrapText="1"/>
    </xf>
    <xf numFmtId="0" fontId="43" fillId="0" borderId="0" xfId="8" applyFont="1" applyAlignment="1">
      <alignment horizontal="center" wrapText="1"/>
    </xf>
    <xf numFmtId="0" fontId="43" fillId="0" borderId="64" xfId="8" applyFont="1" applyBorder="1" applyAlignment="1">
      <alignment horizontal="left"/>
    </xf>
    <xf numFmtId="0" fontId="43" fillId="0" borderId="74" xfId="8" applyFont="1" applyBorder="1" applyAlignment="1">
      <alignment horizontal="left"/>
    </xf>
    <xf numFmtId="0" fontId="43" fillId="0" borderId="76" xfId="8" applyFont="1" applyBorder="1" applyAlignment="1">
      <alignment horizontal="left"/>
    </xf>
    <xf numFmtId="37" fontId="4" fillId="0" borderId="62" xfId="8" applyNumberFormat="1" applyBorder="1" applyAlignment="1">
      <alignment wrapText="1"/>
    </xf>
    <xf numFmtId="0" fontId="43" fillId="0" borderId="62" xfId="8" applyFont="1" applyBorder="1"/>
    <xf numFmtId="177" fontId="4" fillId="3" borderId="74" xfId="9" applyNumberFormat="1" applyFill="1" applyBorder="1" applyProtection="1">
      <protection locked="0"/>
    </xf>
    <xf numFmtId="177" fontId="4" fillId="3" borderId="76" xfId="9" applyNumberFormat="1" applyFill="1" applyBorder="1" applyProtection="1">
      <protection locked="0"/>
    </xf>
    <xf numFmtId="37" fontId="4" fillId="3" borderId="62" xfId="8" applyNumberFormat="1" applyFill="1" applyBorder="1" applyAlignment="1">
      <alignment wrapText="1"/>
    </xf>
    <xf numFmtId="0" fontId="4" fillId="3" borderId="62" xfId="8" applyFill="1" applyBorder="1" applyAlignment="1">
      <alignment horizontal="left"/>
    </xf>
    <xf numFmtId="177" fontId="4" fillId="3" borderId="36" xfId="9" applyNumberFormat="1" applyFill="1" applyBorder="1" applyAlignment="1" applyProtection="1">
      <alignment horizontal="center"/>
      <protection locked="0"/>
    </xf>
    <xf numFmtId="178" fontId="4" fillId="3" borderId="20" xfId="9" applyNumberFormat="1" applyFill="1" applyBorder="1" applyAlignment="1" applyProtection="1">
      <alignment horizontal="center"/>
      <protection locked="0"/>
    </xf>
    <xf numFmtId="177" fontId="57" fillId="3" borderId="20" xfId="9" applyNumberFormat="1" applyFont="1" applyFill="1" applyBorder="1" applyProtection="1">
      <protection locked="0"/>
    </xf>
    <xf numFmtId="177" fontId="4" fillId="3" borderId="30" xfId="9" applyNumberFormat="1" applyFill="1" applyBorder="1" applyAlignment="1" applyProtection="1">
      <alignment vertical="top"/>
      <protection locked="0"/>
    </xf>
    <xf numFmtId="37" fontId="56" fillId="3" borderId="29" xfId="8" applyNumberFormat="1" applyFont="1" applyFill="1" applyBorder="1" applyAlignment="1">
      <alignment wrapText="1"/>
    </xf>
    <xf numFmtId="0" fontId="4" fillId="3" borderId="29" xfId="8" applyFill="1" applyBorder="1" applyAlignment="1">
      <alignment horizontal="left" vertical="top" wrapText="1"/>
    </xf>
    <xf numFmtId="177" fontId="4" fillId="3" borderId="64" xfId="9" applyNumberFormat="1" applyFill="1" applyBorder="1" applyAlignment="1" applyProtection="1">
      <alignment horizontal="center"/>
      <protection locked="0"/>
    </xf>
    <xf numFmtId="178" fontId="4" fillId="3" borderId="74" xfId="9" applyNumberFormat="1" applyFill="1" applyBorder="1" applyAlignment="1" applyProtection="1">
      <alignment horizontal="center"/>
      <protection locked="0"/>
    </xf>
    <xf numFmtId="177" fontId="57" fillId="3" borderId="74" xfId="9" applyNumberFormat="1" applyFont="1" applyFill="1" applyBorder="1" applyProtection="1">
      <protection locked="0"/>
    </xf>
    <xf numFmtId="177" fontId="4" fillId="3" borderId="76" xfId="9" applyNumberFormat="1" applyFill="1" applyBorder="1" applyAlignment="1" applyProtection="1">
      <alignment vertical="top"/>
      <protection locked="0"/>
    </xf>
    <xf numFmtId="0" fontId="4" fillId="3" borderId="62" xfId="8" applyFill="1" applyBorder="1" applyAlignment="1">
      <alignment horizontal="left" vertical="top" wrapText="1"/>
    </xf>
    <xf numFmtId="37" fontId="57" fillId="3" borderId="74" xfId="8" applyNumberFormat="1" applyFont="1" applyFill="1" applyBorder="1"/>
    <xf numFmtId="177" fontId="57" fillId="3" borderId="74" xfId="9" applyNumberFormat="1" applyFont="1" applyFill="1" applyBorder="1" applyAlignment="1" applyProtection="1">
      <alignment horizontal="left"/>
      <protection locked="0"/>
    </xf>
    <xf numFmtId="178" fontId="4" fillId="3" borderId="74" xfId="9" applyNumberFormat="1" applyFill="1" applyBorder="1" applyAlignment="1" applyProtection="1">
      <alignment horizontal="left"/>
      <protection locked="0"/>
    </xf>
    <xf numFmtId="178" fontId="57" fillId="3" borderId="74" xfId="9" applyNumberFormat="1" applyFont="1" applyFill="1" applyBorder="1" applyAlignment="1" applyProtection="1">
      <alignment horizontal="left"/>
      <protection locked="0"/>
    </xf>
    <xf numFmtId="0" fontId="4" fillId="0" borderId="64" xfId="8" applyBorder="1"/>
    <xf numFmtId="0" fontId="4" fillId="0" borderId="74" xfId="8" applyBorder="1"/>
    <xf numFmtId="177" fontId="4" fillId="0" borderId="74" xfId="9" applyNumberFormat="1" applyBorder="1" applyAlignment="1" applyProtection="1">
      <alignment horizontal="left"/>
      <protection locked="0"/>
    </xf>
    <xf numFmtId="177" fontId="4" fillId="0" borderId="76" xfId="9" applyNumberFormat="1" applyBorder="1" applyAlignment="1" applyProtection="1">
      <alignment horizontal="left"/>
      <protection locked="0"/>
    </xf>
    <xf numFmtId="0" fontId="57" fillId="0" borderId="62" xfId="8" applyFont="1" applyBorder="1" applyAlignment="1">
      <alignment wrapText="1"/>
    </xf>
    <xf numFmtId="0" fontId="52" fillId="0" borderId="64" xfId="8" applyFont="1" applyBorder="1"/>
    <xf numFmtId="0" fontId="52" fillId="0" borderId="74" xfId="8" applyFont="1" applyBorder="1"/>
    <xf numFmtId="0" fontId="4" fillId="0" borderId="76" xfId="8" applyBorder="1"/>
    <xf numFmtId="0" fontId="52" fillId="0" borderId="29" xfId="8" applyFont="1" applyBorder="1"/>
    <xf numFmtId="0" fontId="52" fillId="0" borderId="30" xfId="8" applyFont="1" applyBorder="1"/>
    <xf numFmtId="0" fontId="4" fillId="0" borderId="30" xfId="8" applyBorder="1"/>
    <xf numFmtId="0" fontId="4" fillId="0" borderId="62" xfId="8" applyBorder="1" applyAlignment="1">
      <alignment wrapText="1"/>
    </xf>
    <xf numFmtId="0" fontId="52" fillId="0" borderId="31" xfId="8" applyFont="1" applyBorder="1"/>
    <xf numFmtId="0" fontId="52" fillId="0" borderId="32" xfId="8" applyFont="1" applyBorder="1"/>
    <xf numFmtId="0" fontId="4" fillId="0" borderId="32" xfId="8" applyBorder="1"/>
    <xf numFmtId="0" fontId="52" fillId="0" borderId="0" xfId="8" applyFont="1" applyAlignment="1">
      <alignment wrapText="1"/>
    </xf>
    <xf numFmtId="37" fontId="4" fillId="0" borderId="0" xfId="8" applyNumberFormat="1" applyAlignment="1">
      <alignment wrapText="1"/>
    </xf>
    <xf numFmtId="37" fontId="4" fillId="0" borderId="0" xfId="8" applyNumberFormat="1" applyAlignment="1">
      <alignment horizontal="center" wrapText="1"/>
    </xf>
    <xf numFmtId="0" fontId="4" fillId="0" borderId="0" xfId="8" applyAlignment="1">
      <alignment horizontal="center" wrapText="1"/>
    </xf>
    <xf numFmtId="0" fontId="52" fillId="0" borderId="78" xfId="8" applyFont="1" applyBorder="1"/>
    <xf numFmtId="0" fontId="4" fillId="0" borderId="65" xfId="8" applyBorder="1" applyAlignment="1">
      <alignment wrapText="1"/>
    </xf>
    <xf numFmtId="37" fontId="4" fillId="0" borderId="65" xfId="8" applyNumberFormat="1" applyBorder="1" applyAlignment="1">
      <alignment wrapText="1"/>
    </xf>
    <xf numFmtId="37" fontId="4" fillId="0" borderId="65" xfId="8" applyNumberFormat="1" applyBorder="1" applyAlignment="1">
      <alignment horizontal="center" wrapText="1"/>
    </xf>
    <xf numFmtId="0" fontId="4" fillId="0" borderId="79" xfId="8" applyBorder="1" applyAlignment="1">
      <alignment horizontal="center" wrapText="1"/>
    </xf>
    <xf numFmtId="0" fontId="4" fillId="0" borderId="35" xfId="8" applyBorder="1" applyAlignment="1">
      <alignment horizontal="left"/>
    </xf>
    <xf numFmtId="0" fontId="4" fillId="0" borderId="32" xfId="8" applyBorder="1" applyAlignment="1">
      <alignment horizontal="center" wrapText="1"/>
    </xf>
    <xf numFmtId="0" fontId="55" fillId="0" borderId="0" xfId="8" applyFont="1" applyAlignment="1">
      <alignment horizontal="center" wrapText="1"/>
    </xf>
    <xf numFmtId="0" fontId="52" fillId="0" borderId="0" xfId="8" applyFont="1" applyAlignment="1">
      <alignment horizontal="center" wrapText="1"/>
    </xf>
    <xf numFmtId="0" fontId="57" fillId="0" borderId="0" xfId="8" applyFont="1"/>
    <xf numFmtId="0" fontId="59" fillId="0" borderId="0" xfId="8" applyFont="1" applyAlignment="1">
      <alignment wrapText="1"/>
    </xf>
    <xf numFmtId="0" fontId="57" fillId="0" borderId="0" xfId="8" applyFont="1" applyAlignment="1">
      <alignment wrapText="1"/>
    </xf>
    <xf numFmtId="0" fontId="55" fillId="0" borderId="0" xfId="8" applyFont="1" applyAlignment="1">
      <alignment horizontal="left"/>
    </xf>
    <xf numFmtId="0" fontId="55" fillId="0" borderId="0" xfId="8" applyFont="1" applyAlignment="1">
      <alignment horizontal="center"/>
    </xf>
    <xf numFmtId="0" fontId="57" fillId="0" borderId="0" xfId="8" applyFont="1" applyAlignment="1">
      <alignment horizontal="left"/>
    </xf>
    <xf numFmtId="0" fontId="52" fillId="0" borderId="64" xfId="10" applyFont="1" applyBorder="1" applyAlignment="1">
      <alignment horizontal="left"/>
    </xf>
    <xf numFmtId="0" fontId="52" fillId="0" borderId="74" xfId="10" applyFont="1" applyBorder="1" applyAlignment="1">
      <alignment horizontal="left"/>
    </xf>
    <xf numFmtId="0" fontId="52" fillId="0" borderId="74" xfId="10" applyFont="1" applyBorder="1" applyAlignment="1">
      <alignment horizontal="left" wrapText="1"/>
    </xf>
    <xf numFmtId="0" fontId="52" fillId="0" borderId="62" xfId="10" applyFont="1" applyBorder="1" applyAlignment="1">
      <alignment wrapText="1"/>
    </xf>
    <xf numFmtId="37" fontId="57" fillId="0" borderId="62" xfId="8" applyNumberFormat="1" applyFont="1" applyBorder="1" applyAlignment="1">
      <alignment wrapText="1"/>
    </xf>
    <xf numFmtId="0" fontId="52" fillId="0" borderId="62" xfId="8" applyFont="1" applyBorder="1" applyAlignment="1">
      <alignment wrapText="1"/>
    </xf>
    <xf numFmtId="0" fontId="4" fillId="3" borderId="62" xfId="8" applyFill="1" applyBorder="1" applyAlignment="1">
      <alignment wrapText="1"/>
    </xf>
    <xf numFmtId="37" fontId="9" fillId="3" borderId="62" xfId="8" applyNumberFormat="1" applyFont="1" applyFill="1" applyBorder="1"/>
    <xf numFmtId="177" fontId="4" fillId="3" borderId="64" xfId="9" applyNumberFormat="1" applyFill="1" applyBorder="1" applyAlignment="1" applyProtection="1">
      <alignment horizontal="left"/>
      <protection locked="0"/>
    </xf>
    <xf numFmtId="0" fontId="4" fillId="0" borderId="64" xfId="8" applyBorder="1" applyAlignment="1">
      <alignment horizontal="center"/>
    </xf>
    <xf numFmtId="0" fontId="4" fillId="0" borderId="74" xfId="8" applyBorder="1" applyAlignment="1">
      <alignment horizontal="center"/>
    </xf>
    <xf numFmtId="0" fontId="4" fillId="0" borderId="76" xfId="8" applyBorder="1" applyAlignment="1">
      <alignment horizontal="center"/>
    </xf>
    <xf numFmtId="37" fontId="4" fillId="0" borderId="62" xfId="8" applyNumberFormat="1" applyBorder="1"/>
    <xf numFmtId="37" fontId="57" fillId="0" borderId="62" xfId="8" applyNumberFormat="1" applyFont="1" applyBorder="1"/>
    <xf numFmtId="0" fontId="4" fillId="0" borderId="65" xfId="8" applyBorder="1" applyAlignment="1">
      <alignment horizontal="center"/>
    </xf>
    <xf numFmtId="0" fontId="4" fillId="0" borderId="79" xfId="8" applyBorder="1" applyAlignment="1">
      <alignment horizontal="center"/>
    </xf>
    <xf numFmtId="0" fontId="4" fillId="0" borderId="32" xfId="8" applyBorder="1" applyAlignment="1">
      <alignment horizontal="center"/>
    </xf>
    <xf numFmtId="0" fontId="58" fillId="0" borderId="0" xfId="8" applyFont="1" applyAlignment="1">
      <alignment horizontal="left" wrapText="1"/>
    </xf>
    <xf numFmtId="0" fontId="52" fillId="0" borderId="76" xfId="10" applyFont="1" applyBorder="1" applyAlignment="1">
      <alignment horizontal="left" wrapText="1"/>
    </xf>
    <xf numFmtId="177" fontId="4" fillId="3" borderId="74" xfId="9" quotePrefix="1" applyNumberFormat="1" applyFill="1" applyBorder="1" applyAlignment="1" applyProtection="1">
      <alignment horizontal="center"/>
      <protection locked="0"/>
    </xf>
    <xf numFmtId="0" fontId="52" fillId="0" borderId="62" xfId="8" applyFont="1" applyBorder="1"/>
    <xf numFmtId="0" fontId="52" fillId="0" borderId="76" xfId="8" applyFont="1" applyBorder="1"/>
    <xf numFmtId="37" fontId="4" fillId="3" borderId="62" xfId="8" applyNumberFormat="1" applyFill="1" applyBorder="1"/>
    <xf numFmtId="0" fontId="52" fillId="0" borderId="75" xfId="8" applyFont="1" applyBorder="1"/>
    <xf numFmtId="0" fontId="52" fillId="0" borderId="79" xfId="8" applyFont="1" applyBorder="1"/>
    <xf numFmtId="0" fontId="4" fillId="0" borderId="79" xfId="8" applyBorder="1"/>
    <xf numFmtId="38" fontId="4" fillId="0" borderId="0" xfId="8" applyNumberFormat="1" applyAlignment="1">
      <alignment horizontal="center"/>
    </xf>
    <xf numFmtId="0" fontId="59" fillId="0" borderId="0" xfId="8" applyFont="1" applyAlignment="1">
      <alignment horizontal="center"/>
    </xf>
    <xf numFmtId="0" fontId="52" fillId="0" borderId="76" xfId="10" applyFont="1" applyBorder="1" applyAlignment="1">
      <alignment horizontal="left"/>
    </xf>
    <xf numFmtId="38" fontId="4" fillId="0" borderId="62" xfId="8" applyNumberFormat="1" applyBorder="1"/>
    <xf numFmtId="0" fontId="57" fillId="0" borderId="0" xfId="11" applyFont="1"/>
    <xf numFmtId="0" fontId="4" fillId="0" borderId="76" xfId="8" applyBorder="1" applyAlignment="1">
      <alignment horizontal="left" vertical="top" indent="1"/>
    </xf>
    <xf numFmtId="0" fontId="57" fillId="0" borderId="62" xfId="8" applyFont="1" applyBorder="1" applyAlignment="1">
      <alignment vertical="top"/>
    </xf>
    <xf numFmtId="0" fontId="52" fillId="0" borderId="36" xfId="8" applyFont="1" applyBorder="1"/>
    <xf numFmtId="0" fontId="4" fillId="0" borderId="35" xfId="8" applyBorder="1" applyAlignment="1">
      <alignment wrapText="1"/>
    </xf>
    <xf numFmtId="0" fontId="4" fillId="0" borderId="32" xfId="8" applyBorder="1" applyAlignment="1">
      <alignment wrapText="1"/>
    </xf>
    <xf numFmtId="0" fontId="60" fillId="0" borderId="0" xfId="8" applyFont="1" applyAlignment="1">
      <alignment wrapText="1"/>
    </xf>
    <xf numFmtId="37" fontId="4" fillId="0" borderId="20" xfId="8" applyNumberFormat="1" applyBorder="1"/>
    <xf numFmtId="38" fontId="4" fillId="3" borderId="62" xfId="8" applyNumberFormat="1" applyFill="1" applyBorder="1"/>
    <xf numFmtId="0" fontId="13" fillId="0" borderId="84" xfId="0" applyFont="1" applyBorder="1" applyAlignment="1">
      <alignment horizontal="center"/>
    </xf>
    <xf numFmtId="37" fontId="3" fillId="0" borderId="65" xfId="0" applyNumberFormat="1" applyFont="1" applyBorder="1"/>
    <xf numFmtId="167" fontId="7" fillId="0" borderId="85" xfId="3" applyNumberFormat="1" applyFont="1" applyFill="1" applyBorder="1" applyAlignment="1"/>
    <xf numFmtId="37" fontId="8" fillId="3" borderId="65" xfId="0" applyNumberFormat="1" applyFont="1" applyFill="1" applyBorder="1"/>
    <xf numFmtId="37" fontId="7" fillId="0" borderId="85" xfId="0" applyNumberFormat="1" applyFont="1" applyBorder="1"/>
    <xf numFmtId="37" fontId="3" fillId="0" borderId="65" xfId="0" applyNumberFormat="1" applyFont="1" applyBorder="1" applyAlignment="1">
      <alignment horizontal="right"/>
    </xf>
    <xf numFmtId="37" fontId="7" fillId="0" borderId="65" xfId="0" applyNumberFormat="1" applyFont="1" applyBorder="1"/>
    <xf numFmtId="37" fontId="7" fillId="0" borderId="65" xfId="0" applyNumberFormat="1" applyFont="1" applyBorder="1" applyAlignment="1">
      <alignment horizontal="right"/>
    </xf>
    <xf numFmtId="37" fontId="7" fillId="0" borderId="85" xfId="0" applyNumberFormat="1" applyFont="1" applyBorder="1" applyAlignment="1">
      <alignment horizontal="right"/>
    </xf>
    <xf numFmtId="37" fontId="7" fillId="0" borderId="65" xfId="4" applyNumberFormat="1" applyFont="1" applyBorder="1"/>
    <xf numFmtId="37" fontId="8" fillId="3" borderId="65" xfId="4" applyNumberFormat="1" applyFont="1" applyFill="1" applyBorder="1"/>
    <xf numFmtId="37" fontId="7" fillId="0" borderId="85" xfId="1" applyNumberFormat="1" applyFont="1" applyFill="1" applyBorder="1" applyAlignment="1">
      <alignment horizontal="right"/>
    </xf>
    <xf numFmtId="37" fontId="7" fillId="0" borderId="65" xfId="1" applyNumberFormat="1" applyFont="1" applyFill="1" applyBorder="1" applyAlignment="1">
      <alignment horizontal="right"/>
    </xf>
    <xf numFmtId="0" fontId="46" fillId="3" borderId="0" xfId="4" applyFont="1" applyFill="1"/>
    <xf numFmtId="3" fontId="3" fillId="3" borderId="0" xfId="12" applyNumberFormat="1" applyFont="1" applyFill="1"/>
    <xf numFmtId="3" fontId="3" fillId="3" borderId="20" xfId="12" applyNumberFormat="1" applyFont="1" applyFill="1" applyBorder="1"/>
    <xf numFmtId="164" fontId="54" fillId="3" borderId="62" xfId="49" applyNumberFormat="1" applyFont="1" applyFill="1" applyBorder="1"/>
    <xf numFmtId="164" fontId="71" fillId="3" borderId="2" xfId="20" applyNumberFormat="1" applyFont="1" applyFill="1" applyBorder="1" applyAlignment="1">
      <alignment horizontal="center" wrapText="1"/>
    </xf>
    <xf numFmtId="164" fontId="71" fillId="3" borderId="47" xfId="20" applyNumberFormat="1" applyFont="1" applyFill="1" applyBorder="1" applyAlignment="1">
      <alignment horizontal="center" wrapText="1"/>
    </xf>
    <xf numFmtId="164" fontId="71" fillId="3" borderId="13" xfId="20" applyNumberFormat="1" applyFont="1" applyFill="1" applyBorder="1" applyAlignment="1">
      <alignment horizontal="center" wrapText="1"/>
    </xf>
    <xf numFmtId="37" fontId="43" fillId="0" borderId="0" xfId="0" applyNumberFormat="1" applyFont="1" applyAlignment="1">
      <alignment horizontal="centerContinuous"/>
    </xf>
    <xf numFmtId="37" fontId="49" fillId="0" borderId="0" xfId="0" applyNumberFormat="1" applyFont="1" applyAlignment="1">
      <alignment horizontal="centerContinuous"/>
    </xf>
    <xf numFmtId="37" fontId="57" fillId="0" borderId="74" xfId="0" applyNumberFormat="1" applyFont="1" applyBorder="1" applyAlignment="1">
      <alignment horizontal="centerContinuous"/>
    </xf>
    <xf numFmtId="37" fontId="57" fillId="0" borderId="0" xfId="0" applyNumberFormat="1" applyFont="1" applyAlignment="1">
      <alignment horizontal="centerContinuous"/>
    </xf>
    <xf numFmtId="37" fontId="103" fillId="0" borderId="20" xfId="0" applyNumberFormat="1" applyFont="1" applyBorder="1"/>
    <xf numFmtId="37" fontId="57" fillId="0" borderId="20" xfId="0" applyNumberFormat="1" applyFont="1" applyBorder="1"/>
    <xf numFmtId="37" fontId="4" fillId="0" borderId="86" xfId="0" applyNumberFormat="1" applyFont="1" applyBorder="1"/>
    <xf numFmtId="0" fontId="4" fillId="0" borderId="86" xfId="0" applyFont="1" applyBorder="1" applyAlignment="1">
      <alignment horizontal="right" indent="4"/>
    </xf>
    <xf numFmtId="0" fontId="4" fillId="0" borderId="86" xfId="0" applyFont="1" applyBorder="1" applyAlignment="1">
      <alignment horizontal="center"/>
    </xf>
    <xf numFmtId="37" fontId="4" fillId="0" borderId="81" xfId="0" applyNumberFormat="1" applyFont="1" applyBorder="1"/>
    <xf numFmtId="0" fontId="4" fillId="0" borderId="81" xfId="0" applyFont="1" applyBorder="1" applyAlignment="1">
      <alignment horizontal="right" indent="4"/>
    </xf>
    <xf numFmtId="0" fontId="4" fillId="0" borderId="81" xfId="0" applyFont="1" applyBorder="1" applyAlignment="1">
      <alignment horizontal="center"/>
    </xf>
    <xf numFmtId="37" fontId="4" fillId="0" borderId="82" xfId="0" applyNumberFormat="1" applyFont="1" applyBorder="1"/>
    <xf numFmtId="0" fontId="4" fillId="0" borderId="82" xfId="0" applyFont="1" applyBorder="1" applyAlignment="1">
      <alignment horizontal="right" indent="4"/>
    </xf>
    <xf numFmtId="0" fontId="4" fillId="0" borderId="82" xfId="0" applyFont="1" applyBorder="1" applyAlignment="1">
      <alignment horizontal="center"/>
    </xf>
    <xf numFmtId="37" fontId="52" fillId="0" borderId="86" xfId="0" applyNumberFormat="1" applyFont="1" applyBorder="1"/>
    <xf numFmtId="0" fontId="52" fillId="0" borderId="86" xfId="0" applyFont="1" applyBorder="1" applyAlignment="1">
      <alignment horizontal="right" indent="4"/>
    </xf>
    <xf numFmtId="0" fontId="52" fillId="2" borderId="86" xfId="0" applyFont="1" applyFill="1" applyBorder="1" applyAlignment="1">
      <alignment horizontal="center"/>
    </xf>
    <xf numFmtId="0" fontId="4" fillId="0" borderId="81" xfId="0" quotePrefix="1" applyFont="1" applyBorder="1" applyAlignment="1">
      <alignment horizontal="right" indent="4"/>
    </xf>
    <xf numFmtId="0" fontId="4" fillId="0" borderId="81" xfId="0" quotePrefix="1" applyFont="1" applyBorder="1" applyAlignment="1">
      <alignment horizontal="center"/>
    </xf>
    <xf numFmtId="0" fontId="4" fillId="0" borderId="82" xfId="0" quotePrefix="1" applyFont="1" applyBorder="1" applyAlignment="1">
      <alignment horizontal="right" indent="4"/>
    </xf>
    <xf numFmtId="0" fontId="4" fillId="0" borderId="82" xfId="0" quotePrefix="1" applyFont="1" applyBorder="1" applyAlignment="1">
      <alignment horizontal="center"/>
    </xf>
    <xf numFmtId="0" fontId="4" fillId="2" borderId="82" xfId="0" applyFont="1" applyFill="1" applyBorder="1" applyAlignment="1">
      <alignment horizontal="center"/>
    </xf>
    <xf numFmtId="37" fontId="4" fillId="2" borderId="82" xfId="0" applyNumberFormat="1" applyFont="1" applyFill="1" applyBorder="1"/>
    <xf numFmtId="37" fontId="52" fillId="0" borderId="74" xfId="0" applyNumberFormat="1" applyFont="1" applyBorder="1"/>
    <xf numFmtId="37" fontId="4" fillId="0" borderId="74" xfId="0" applyNumberFormat="1" applyFont="1" applyBorder="1"/>
    <xf numFmtId="0" fontId="52" fillId="0" borderId="74" xfId="0" quotePrefix="1" applyFont="1" applyBorder="1" applyAlignment="1">
      <alignment horizontal="right" indent="4"/>
    </xf>
    <xf numFmtId="0" fontId="52" fillId="0" borderId="74" xfId="0" quotePrefix="1" applyFont="1" applyBorder="1" applyAlignment="1">
      <alignment horizontal="center"/>
    </xf>
    <xf numFmtId="37" fontId="52" fillId="2" borderId="74" xfId="0" applyNumberFormat="1" applyFont="1" applyFill="1" applyBorder="1"/>
    <xf numFmtId="37" fontId="52" fillId="0" borderId="65" xfId="0" applyNumberFormat="1" applyFont="1" applyBorder="1" applyAlignment="1">
      <alignment horizontal="centerContinuous"/>
    </xf>
    <xf numFmtId="37" fontId="4" fillId="0" borderId="65" xfId="0" applyNumberFormat="1" applyFont="1" applyBorder="1" applyAlignment="1">
      <alignment horizontal="centerContinuous"/>
    </xf>
    <xf numFmtId="37" fontId="52" fillId="0" borderId="74" xfId="0" applyNumberFormat="1" applyFont="1" applyBorder="1" applyAlignment="1">
      <alignment horizontal="centerContinuous"/>
    </xf>
    <xf numFmtId="37" fontId="4" fillId="0" borderId="74" xfId="0" applyNumberFormat="1" applyFont="1" applyBorder="1" applyAlignment="1">
      <alignment horizontal="centerContinuous"/>
    </xf>
    <xf numFmtId="37" fontId="52" fillId="0" borderId="20" xfId="0" applyNumberFormat="1" applyFont="1" applyBorder="1" applyAlignment="1">
      <alignment horizontal="center"/>
    </xf>
    <xf numFmtId="37" fontId="52" fillId="0" borderId="74" xfId="8" applyNumberFormat="1" applyFont="1" applyBorder="1" applyAlignment="1">
      <alignment horizontal="centerContinuous"/>
    </xf>
    <xf numFmtId="37" fontId="4" fillId="0" borderId="20" xfId="0" applyNumberFormat="1" applyFont="1" applyBorder="1" applyAlignment="1">
      <alignment horizontal="centerContinuous"/>
    </xf>
    <xf numFmtId="37" fontId="52" fillId="0" borderId="20" xfId="8" applyNumberFormat="1" applyFont="1" applyBorder="1" applyAlignment="1">
      <alignment horizontal="centerContinuous"/>
    </xf>
    <xf numFmtId="0" fontId="4" fillId="0" borderId="20" xfId="0" applyFont="1" applyBorder="1" applyAlignment="1">
      <alignment horizontal="centerContinuous"/>
    </xf>
    <xf numFmtId="37" fontId="6" fillId="0" borderId="0" xfId="0" applyNumberFormat="1" applyFont="1" applyAlignment="1">
      <alignment horizontal="centerContinuous"/>
    </xf>
    <xf numFmtId="37" fontId="62" fillId="0" borderId="0" xfId="0" applyNumberFormat="1" applyFont="1" applyAlignment="1">
      <alignment horizontal="centerContinuous"/>
    </xf>
    <xf numFmtId="37" fontId="4" fillId="0" borderId="0" xfId="0" applyNumberFormat="1" applyFont="1" applyAlignment="1">
      <alignment horizontal="centerContinuous"/>
    </xf>
    <xf numFmtId="37" fontId="52" fillId="0" borderId="0" xfId="0" applyNumberFormat="1" applyFont="1" applyAlignment="1">
      <alignment horizontal="centerContinuous"/>
    </xf>
    <xf numFmtId="37" fontId="52" fillId="0" borderId="0" xfId="8" applyNumberFormat="1" applyFont="1" applyAlignment="1">
      <alignment horizontal="centerContinuous"/>
    </xf>
    <xf numFmtId="0" fontId="52" fillId="0" borderId="65" xfId="0" applyFont="1" applyBorder="1" applyAlignment="1">
      <alignment horizontal="centerContinuous"/>
    </xf>
    <xf numFmtId="37" fontId="4" fillId="0" borderId="20" xfId="8" applyNumberFormat="1" applyBorder="1" applyAlignment="1">
      <alignment horizontal="centerContinuous"/>
    </xf>
    <xf numFmtId="37" fontId="52" fillId="0" borderId="74" xfId="0" applyNumberFormat="1" applyFont="1" applyBorder="1" applyAlignment="1">
      <alignment horizontal="center"/>
    </xf>
    <xf numFmtId="192" fontId="4" fillId="0" borderId="86" xfId="0" applyNumberFormat="1" applyFont="1" applyBorder="1"/>
    <xf numFmtId="37" fontId="4" fillId="0" borderId="86" xfId="0" quotePrefix="1" applyNumberFormat="1" applyFont="1" applyBorder="1" applyAlignment="1">
      <alignment horizontal="center"/>
    </xf>
    <xf numFmtId="182" fontId="57" fillId="3" borderId="86" xfId="0" applyNumberFormat="1" applyFont="1" applyFill="1" applyBorder="1" applyAlignment="1">
      <alignment horizontal="center"/>
    </xf>
    <xf numFmtId="37" fontId="57" fillId="3" borderId="86" xfId="0" applyNumberFormat="1" applyFont="1" applyFill="1" applyBorder="1"/>
    <xf numFmtId="167" fontId="57" fillId="3" borderId="86" xfId="3" applyNumberFormat="1" applyFont="1" applyFill="1" applyBorder="1" applyAlignment="1">
      <alignment horizontal="center"/>
    </xf>
    <xf numFmtId="167" fontId="57" fillId="0" borderId="0" xfId="3" applyNumberFormat="1" applyFont="1" applyFill="1" applyBorder="1" applyAlignment="1">
      <alignment horizontal="center"/>
    </xf>
    <xf numFmtId="192" fontId="4" fillId="0" borderId="81" xfId="0" applyNumberFormat="1" applyFont="1" applyBorder="1"/>
    <xf numFmtId="37" fontId="4" fillId="0" borderId="81" xfId="0" quotePrefix="1" applyNumberFormat="1" applyFont="1" applyBorder="1" applyAlignment="1">
      <alignment horizontal="center"/>
    </xf>
    <xf numFmtId="167" fontId="57" fillId="3" borderId="81" xfId="3" applyNumberFormat="1" applyFont="1" applyFill="1" applyBorder="1" applyAlignment="1">
      <alignment horizontal="center"/>
    </xf>
    <xf numFmtId="192" fontId="4" fillId="0" borderId="82" xfId="0" applyNumberFormat="1" applyFont="1" applyBorder="1"/>
    <xf numFmtId="37" fontId="4" fillId="0" borderId="82" xfId="0" quotePrefix="1" applyNumberFormat="1" applyFont="1" applyBorder="1" applyAlignment="1">
      <alignment horizontal="center"/>
    </xf>
    <xf numFmtId="167" fontId="57" fillId="3" borderId="82" xfId="3" applyNumberFormat="1" applyFont="1" applyFill="1" applyBorder="1" applyAlignment="1">
      <alignment horizontal="center"/>
    </xf>
    <xf numFmtId="37" fontId="136" fillId="0" borderId="0" xfId="0" applyNumberFormat="1" applyFont="1" applyAlignment="1">
      <alignment horizontal="centerContinuous"/>
    </xf>
    <xf numFmtId="182" fontId="62" fillId="3" borderId="86" xfId="0" applyNumberFormat="1" applyFont="1" applyFill="1" applyBorder="1" applyAlignment="1">
      <alignment horizontal="center"/>
    </xf>
    <xf numFmtId="37" fontId="62" fillId="3" borderId="86" xfId="0" applyNumberFormat="1" applyFont="1" applyFill="1" applyBorder="1"/>
    <xf numFmtId="182" fontId="62" fillId="3" borderId="81" xfId="0" applyNumberFormat="1" applyFont="1" applyFill="1" applyBorder="1" applyAlignment="1">
      <alignment horizontal="center"/>
    </xf>
    <xf numFmtId="37" fontId="62" fillId="3" borderId="81" xfId="0" applyNumberFormat="1" applyFont="1" applyFill="1" applyBorder="1"/>
    <xf numFmtId="182" fontId="62" fillId="3" borderId="81" xfId="0" quotePrefix="1" applyNumberFormat="1" applyFont="1" applyFill="1" applyBorder="1" applyAlignment="1">
      <alignment horizontal="center"/>
    </xf>
    <xf numFmtId="182" fontId="62" fillId="3" borderId="82" xfId="0" applyNumberFormat="1" applyFont="1" applyFill="1" applyBorder="1" applyAlignment="1">
      <alignment horizontal="center"/>
    </xf>
    <xf numFmtId="37" fontId="62" fillId="3" borderId="82" xfId="0" applyNumberFormat="1" applyFont="1" applyFill="1" applyBorder="1"/>
    <xf numFmtId="0" fontId="132" fillId="0" borderId="26" xfId="12" applyFont="1" applyBorder="1" applyAlignment="1">
      <alignment vertical="center" wrapText="1"/>
    </xf>
    <xf numFmtId="0" fontId="52" fillId="3" borderId="20" xfId="8" applyFont="1" applyFill="1" applyBorder="1" applyAlignment="1">
      <alignment horizontal="center" wrapText="1"/>
    </xf>
    <xf numFmtId="37" fontId="62" fillId="0" borderId="0" xfId="8" applyNumberFormat="1" applyFont="1" applyAlignment="1">
      <alignment horizontal="left" wrapText="1"/>
    </xf>
    <xf numFmtId="0" fontId="9" fillId="3" borderId="29" xfId="8" applyFont="1" applyFill="1" applyBorder="1" applyAlignment="1">
      <alignment horizontal="center" vertical="top"/>
    </xf>
    <xf numFmtId="0" fontId="9" fillId="3" borderId="26" xfId="8" applyFont="1" applyFill="1" applyBorder="1" applyAlignment="1">
      <alignment horizontal="center"/>
    </xf>
    <xf numFmtId="0" fontId="9" fillId="3" borderId="37" xfId="8" applyFont="1" applyFill="1" applyBorder="1" applyAlignment="1">
      <alignment horizontal="center"/>
    </xf>
    <xf numFmtId="0" fontId="9" fillId="3" borderId="31" xfId="8" applyFont="1" applyFill="1" applyBorder="1" applyAlignment="1">
      <alignment horizontal="center"/>
    </xf>
    <xf numFmtId="186" fontId="3" fillId="0" borderId="0" xfId="1" applyNumberFormat="1" applyFont="1" applyFill="1"/>
    <xf numFmtId="0" fontId="54" fillId="0" borderId="0" xfId="33" applyFont="1"/>
    <xf numFmtId="186" fontId="7" fillId="0" borderId="0" xfId="1" applyNumberFormat="1" applyFont="1" applyFill="1" applyBorder="1" applyAlignment="1">
      <alignment horizontal="left"/>
    </xf>
    <xf numFmtId="37" fontId="20" fillId="3" borderId="0" xfId="0" applyNumberFormat="1" applyFont="1" applyFill="1" applyAlignment="1">
      <alignment horizontal="center"/>
    </xf>
    <xf numFmtId="0" fontId="0" fillId="0" borderId="38" xfId="0" applyBorder="1" applyAlignment="1">
      <alignment horizontal="center"/>
    </xf>
    <xf numFmtId="0" fontId="96" fillId="0" borderId="3" xfId="20" applyFont="1" applyBorder="1" applyAlignment="1">
      <alignment horizontal="center" vertical="center"/>
    </xf>
    <xf numFmtId="164" fontId="96" fillId="0" borderId="24" xfId="42" applyNumberFormat="1" applyFont="1" applyFill="1" applyBorder="1"/>
    <xf numFmtId="0" fontId="137" fillId="0" borderId="0" xfId="0" applyFont="1" applyAlignment="1">
      <alignment horizontal="left" vertical="top"/>
    </xf>
    <xf numFmtId="10" fontId="2" fillId="0" borderId="0" xfId="3" applyNumberFormat="1" applyFont="1" applyFill="1" applyBorder="1" applyAlignment="1">
      <alignment horizontal="right"/>
    </xf>
    <xf numFmtId="194" fontId="57" fillId="3" borderId="74" xfId="9" quotePrefix="1" applyNumberFormat="1" applyFont="1" applyFill="1" applyBorder="1" applyAlignment="1" applyProtection="1">
      <alignment horizontal="center"/>
      <protection locked="0"/>
    </xf>
    <xf numFmtId="0" fontId="4" fillId="3" borderId="74" xfId="9" applyFill="1" applyBorder="1" applyAlignment="1" applyProtection="1">
      <alignment horizontal="center"/>
      <protection locked="0"/>
    </xf>
    <xf numFmtId="0" fontId="52" fillId="0" borderId="0" xfId="39" applyFont="1"/>
    <xf numFmtId="0" fontId="52" fillId="0" borderId="0" xfId="4" applyFont="1"/>
    <xf numFmtId="39" fontId="2" fillId="0" borderId="0" xfId="0" applyNumberFormat="1" applyFont="1" applyAlignment="1">
      <alignment horizontal="right"/>
    </xf>
    <xf numFmtId="37" fontId="52" fillId="0" borderId="28" xfId="0" applyNumberFormat="1" applyFont="1" applyBorder="1" applyAlignment="1">
      <alignment horizontal="centerContinuous"/>
    </xf>
    <xf numFmtId="37" fontId="103" fillId="0" borderId="28" xfId="0" applyNumberFormat="1" applyFont="1" applyBorder="1" applyAlignment="1">
      <alignment horizontal="centerContinuous"/>
    </xf>
    <xf numFmtId="37" fontId="103" fillId="0" borderId="28" xfId="0" applyNumberFormat="1" applyFont="1" applyBorder="1" applyAlignment="1">
      <alignment horizontal="center"/>
    </xf>
    <xf numFmtId="37" fontId="103" fillId="0" borderId="28" xfId="0" applyNumberFormat="1" applyFont="1" applyBorder="1" applyAlignment="1">
      <alignment horizontal="left"/>
    </xf>
    <xf numFmtId="37" fontId="20" fillId="3" borderId="39" xfId="0" applyNumberFormat="1" applyFont="1" applyFill="1" applyBorder="1"/>
    <xf numFmtId="0" fontId="42" fillId="0" borderId="62" xfId="46" applyFont="1" applyBorder="1"/>
    <xf numFmtId="0" fontId="43" fillId="0" borderId="62" xfId="44" applyFont="1" applyBorder="1"/>
    <xf numFmtId="0" fontId="42" fillId="0" borderId="62" xfId="0" applyFont="1" applyBorder="1"/>
    <xf numFmtId="184" fontId="52" fillId="0" borderId="2" xfId="36" applyNumberFormat="1" applyFont="1" applyBorder="1" applyAlignment="1">
      <alignment horizontal="center" wrapText="1"/>
    </xf>
    <xf numFmtId="0" fontId="4" fillId="0" borderId="0" xfId="18"/>
    <xf numFmtId="0" fontId="4" fillId="0" borderId="0" xfId="18" applyAlignment="1">
      <alignment wrapText="1"/>
    </xf>
    <xf numFmtId="43" fontId="9" fillId="3" borderId="51" xfId="49" applyFont="1" applyFill="1" applyBorder="1" applyAlignment="1">
      <alignment horizontal="right" vertical="top"/>
    </xf>
    <xf numFmtId="10" fontId="4" fillId="3" borderId="51" xfId="18" applyNumberFormat="1" applyFill="1" applyBorder="1" applyAlignment="1">
      <alignment horizontal="right" vertical="top"/>
    </xf>
    <xf numFmtId="43" fontId="4" fillId="3" borderId="51" xfId="49" applyFont="1" applyFill="1" applyBorder="1" applyAlignment="1">
      <alignment horizontal="right" vertical="top"/>
    </xf>
    <xf numFmtId="43" fontId="9" fillId="0" borderId="51" xfId="49" applyFont="1" applyFill="1" applyBorder="1" applyAlignment="1">
      <alignment horizontal="right" vertical="top"/>
    </xf>
    <xf numFmtId="10" fontId="4" fillId="0" borderId="13" xfId="18" applyNumberFormat="1" applyBorder="1" applyAlignment="1">
      <alignment horizontal="right" vertical="top"/>
    </xf>
    <xf numFmtId="164" fontId="96" fillId="3" borderId="11" xfId="21" applyNumberFormat="1" applyFont="1" applyFill="1" applyBorder="1" applyAlignment="1">
      <alignment horizontal="center"/>
    </xf>
    <xf numFmtId="164" fontId="96" fillId="3" borderId="1" xfId="21" applyNumberFormat="1" applyFont="1" applyFill="1" applyBorder="1" applyAlignment="1">
      <alignment horizontal="center"/>
    </xf>
    <xf numFmtId="164" fontId="96" fillId="3" borderId="12" xfId="21" applyNumberFormat="1" applyFont="1" applyFill="1" applyBorder="1" applyAlignment="1">
      <alignment horizontal="center"/>
    </xf>
    <xf numFmtId="164" fontId="96" fillId="0" borderId="13" xfId="21" applyNumberFormat="1" applyFont="1" applyFill="1" applyBorder="1" applyAlignment="1">
      <alignment horizontal="center"/>
    </xf>
    <xf numFmtId="164" fontId="96" fillId="0" borderId="11" xfId="21" applyNumberFormat="1" applyFont="1" applyFill="1" applyBorder="1" applyAlignment="1">
      <alignment horizontal="center"/>
    </xf>
    <xf numFmtId="43" fontId="98" fillId="3" borderId="5" xfId="21" applyFont="1" applyFill="1" applyBorder="1"/>
    <xf numFmtId="43" fontId="98" fillId="3" borderId="39" xfId="21" applyFont="1" applyFill="1" applyBorder="1"/>
    <xf numFmtId="0" fontId="4" fillId="3" borderId="0" xfId="0" applyFont="1" applyFill="1"/>
    <xf numFmtId="0" fontId="57" fillId="0" borderId="0" xfId="0" applyFont="1"/>
    <xf numFmtId="37" fontId="9" fillId="5" borderId="62" xfId="8" applyNumberFormat="1" applyFont="1" applyFill="1" applyBorder="1"/>
    <xf numFmtId="0" fontId="4" fillId="0" borderId="35" xfId="8" applyBorder="1" applyAlignment="1">
      <alignment horizontal="left" wrapText="1"/>
    </xf>
    <xf numFmtId="0" fontId="4" fillId="0" borderId="32" xfId="8" applyBorder="1" applyAlignment="1">
      <alignment horizontal="left" wrapText="1"/>
    </xf>
    <xf numFmtId="0" fontId="43" fillId="0" borderId="0" xfId="8" applyFont="1" applyAlignment="1">
      <alignment horizontal="center"/>
    </xf>
    <xf numFmtId="0" fontId="20" fillId="3" borderId="39" xfId="0" applyFont="1" applyFill="1" applyBorder="1" applyAlignment="1">
      <alignment horizontal="center"/>
    </xf>
    <xf numFmtId="37" fontId="9" fillId="0" borderId="62" xfId="0" applyNumberFormat="1" applyFont="1" applyBorder="1" applyAlignment="1">
      <alignment vertical="top"/>
    </xf>
    <xf numFmtId="10" fontId="9" fillId="0" borderId="62" xfId="3" applyNumberFormat="1" applyFont="1" applyFill="1" applyBorder="1" applyAlignment="1">
      <alignment vertical="top"/>
    </xf>
    <xf numFmtId="164" fontId="9" fillId="3" borderId="37" xfId="1" applyNumberFormat="1" applyFont="1" applyFill="1" applyBorder="1" applyAlignment="1">
      <alignment horizontal="center" vertical="top"/>
    </xf>
    <xf numFmtId="164" fontId="9" fillId="3" borderId="31" xfId="1" applyNumberFormat="1" applyFont="1" applyFill="1" applyBorder="1" applyAlignment="1">
      <alignment horizontal="center" vertical="top"/>
    </xf>
    <xf numFmtId="164" fontId="9" fillId="3" borderId="29" xfId="1" applyNumberFormat="1" applyFont="1" applyFill="1" applyBorder="1" applyAlignment="1">
      <alignment horizontal="center" vertical="top"/>
    </xf>
    <xf numFmtId="164" fontId="9" fillId="3" borderId="29" xfId="1" quotePrefix="1" applyNumberFormat="1" applyFont="1" applyFill="1" applyBorder="1" applyAlignment="1">
      <alignment horizontal="center"/>
    </xf>
    <xf numFmtId="184" fontId="52" fillId="0" borderId="53" xfId="36" applyNumberFormat="1" applyFont="1" applyBorder="1" applyAlignment="1">
      <alignment horizontal="center" wrapText="1"/>
    </xf>
    <xf numFmtId="184" fontId="52" fillId="0" borderId="54" xfId="36" applyNumberFormat="1" applyFont="1" applyBorder="1" applyAlignment="1">
      <alignment horizontal="center" wrapText="1"/>
    </xf>
    <xf numFmtId="184" fontId="52" fillId="0" borderId="55" xfId="36" applyNumberFormat="1" applyFont="1" applyBorder="1" applyAlignment="1">
      <alignment horizontal="center" wrapText="1"/>
    </xf>
    <xf numFmtId="37" fontId="134" fillId="3" borderId="54" xfId="38" quotePrefix="1" applyNumberFormat="1" applyFont="1" applyFill="1" applyBorder="1" applyAlignment="1" applyProtection="1">
      <alignment horizontal="right" vertical="center"/>
      <protection locked="0"/>
    </xf>
    <xf numFmtId="37" fontId="134" fillId="3" borderId="55" xfId="38" quotePrefix="1" applyNumberFormat="1" applyFont="1" applyFill="1" applyBorder="1" applyAlignment="1" applyProtection="1">
      <alignment horizontal="right" vertical="center"/>
      <protection locked="0"/>
    </xf>
    <xf numFmtId="182" fontId="9" fillId="0" borderId="0" xfId="5" applyNumberFormat="1" applyFont="1" applyFill="1" applyAlignment="1" applyProtection="1">
      <alignment vertical="center"/>
    </xf>
    <xf numFmtId="182" fontId="4" fillId="0" borderId="0" xfId="5" applyNumberFormat="1" applyFont="1" applyFill="1" applyAlignment="1">
      <alignment vertical="center"/>
    </xf>
    <xf numFmtId="164" fontId="98" fillId="3" borderId="3" xfId="22" applyNumberFormat="1" applyFont="1" applyFill="1" applyBorder="1" applyAlignment="1">
      <alignment horizontal="left" vertical="center"/>
    </xf>
    <xf numFmtId="164" fontId="98" fillId="3" borderId="4" xfId="22" applyNumberFormat="1" applyFont="1" applyFill="1" applyBorder="1" applyAlignment="1">
      <alignment horizontal="left" vertical="center"/>
    </xf>
    <xf numFmtId="164" fontId="98" fillId="3" borderId="38" xfId="22" applyNumberFormat="1" applyFont="1" applyFill="1" applyBorder="1" applyAlignment="1">
      <alignment horizontal="left" vertical="center"/>
    </xf>
    <xf numFmtId="164" fontId="98" fillId="3" borderId="0" xfId="22" applyNumberFormat="1" applyFont="1" applyFill="1" applyBorder="1" applyAlignment="1">
      <alignment horizontal="left" vertical="center"/>
    </xf>
    <xf numFmtId="164" fontId="98" fillId="3" borderId="11" xfId="22" applyNumberFormat="1" applyFont="1" applyFill="1" applyBorder="1" applyAlignment="1">
      <alignment horizontal="left" vertical="center"/>
    </xf>
    <xf numFmtId="164" fontId="98" fillId="3" borderId="1" xfId="22" applyNumberFormat="1" applyFont="1" applyFill="1" applyBorder="1" applyAlignment="1">
      <alignment horizontal="left" vertical="center"/>
    </xf>
    <xf numFmtId="164" fontId="98" fillId="3" borderId="13" xfId="21" applyNumberFormat="1" applyFont="1" applyFill="1" applyBorder="1"/>
    <xf numFmtId="43" fontId="98" fillId="3" borderId="12" xfId="21" applyFont="1" applyFill="1" applyBorder="1"/>
    <xf numFmtId="37" fontId="7" fillId="0" borderId="0" xfId="0" applyNumberFormat="1" applyFont="1" applyAlignment="1">
      <alignment horizontal="center" wrapText="1"/>
    </xf>
    <xf numFmtId="0" fontId="0" fillId="3" borderId="0" xfId="0" applyFill="1" applyAlignment="1">
      <alignment horizontal="center"/>
    </xf>
    <xf numFmtId="0" fontId="57" fillId="3" borderId="88" xfId="8" applyFont="1" applyFill="1" applyBorder="1" applyAlignment="1">
      <alignment horizontal="center"/>
    </xf>
    <xf numFmtId="42" fontId="46" fillId="0" borderId="32" xfId="8" applyNumberFormat="1" applyFont="1" applyBorder="1" applyAlignment="1">
      <alignment horizontal="right"/>
    </xf>
    <xf numFmtId="0" fontId="57" fillId="3" borderId="72" xfId="8" applyFont="1" applyFill="1" applyBorder="1" applyAlignment="1">
      <alignment horizontal="center"/>
    </xf>
    <xf numFmtId="42" fontId="9" fillId="3" borderId="61" xfId="8" applyNumberFormat="1" applyFont="1" applyFill="1" applyBorder="1" applyAlignment="1">
      <alignment horizontal="right"/>
    </xf>
    <xf numFmtId="42" fontId="57" fillId="0" borderId="63" xfId="29" applyNumberFormat="1" applyFont="1" applyBorder="1"/>
    <xf numFmtId="42" fontId="46" fillId="0" borderId="76" xfId="8" applyNumberFormat="1" applyFont="1" applyBorder="1" applyAlignment="1">
      <alignment horizontal="right"/>
    </xf>
    <xf numFmtId="42" fontId="46" fillId="0" borderId="63" xfId="8" applyNumberFormat="1" applyFont="1" applyBorder="1" applyAlignment="1">
      <alignment horizontal="right"/>
    </xf>
    <xf numFmtId="42" fontId="57" fillId="6" borderId="24" xfId="27" applyNumberFormat="1" applyFont="1" applyFill="1" applyBorder="1"/>
    <xf numFmtId="164" fontId="9" fillId="3" borderId="75" xfId="1" applyNumberFormat="1" applyFont="1" applyFill="1" applyBorder="1" applyAlignment="1">
      <alignment horizontal="center" vertical="top"/>
    </xf>
    <xf numFmtId="37" fontId="134" fillId="3" borderId="53" xfId="38" quotePrefix="1" applyNumberFormat="1" applyFont="1" applyFill="1" applyBorder="1" applyAlignment="1" applyProtection="1">
      <alignment horizontal="right" vertical="center"/>
      <protection locked="0"/>
    </xf>
    <xf numFmtId="37" fontId="134" fillId="3" borderId="51" xfId="38" quotePrefix="1" applyNumberFormat="1" applyFont="1" applyFill="1" applyBorder="1" applyAlignment="1" applyProtection="1">
      <alignment horizontal="right" vertical="center"/>
      <protection locked="0"/>
    </xf>
    <xf numFmtId="37" fontId="134" fillId="3" borderId="56" xfId="38" quotePrefix="1" applyNumberFormat="1" applyFont="1" applyFill="1" applyBorder="1" applyAlignment="1" applyProtection="1">
      <alignment horizontal="right" vertical="center"/>
      <protection locked="0"/>
    </xf>
    <xf numFmtId="179" fontId="2" fillId="0" borderId="0" xfId="3" applyNumberFormat="1" applyFont="1" applyAlignment="1">
      <alignment horizontal="right"/>
    </xf>
    <xf numFmtId="0" fontId="57" fillId="3" borderId="8" xfId="8" applyFont="1" applyFill="1" applyBorder="1" applyAlignment="1">
      <alignment horizontal="center"/>
    </xf>
    <xf numFmtId="42" fontId="9" fillId="3" borderId="29" xfId="8" applyNumberFormat="1" applyFont="1" applyFill="1" applyBorder="1" applyAlignment="1">
      <alignment horizontal="right"/>
    </xf>
    <xf numFmtId="42" fontId="57" fillId="0" borderId="60" xfId="29" applyNumberFormat="1" applyFont="1" applyBorder="1"/>
    <xf numFmtId="42" fontId="46" fillId="0" borderId="61" xfId="8" applyNumberFormat="1" applyFont="1" applyBorder="1" applyAlignment="1">
      <alignment horizontal="right"/>
    </xf>
    <xf numFmtId="42" fontId="46" fillId="0" borderId="55" xfId="8" applyNumberFormat="1" applyFont="1" applyBorder="1" applyAlignment="1">
      <alignment horizontal="right"/>
    </xf>
    <xf numFmtId="0" fontId="57" fillId="3" borderId="89" xfId="8" applyFont="1" applyFill="1" applyBorder="1" applyAlignment="1">
      <alignment horizontal="center"/>
    </xf>
    <xf numFmtId="0" fontId="4" fillId="6" borderId="48" xfId="31" applyFill="1" applyBorder="1" applyProtection="1">
      <alignment horizontal="left" vertical="center" indent="1"/>
      <protection locked="0"/>
    </xf>
    <xf numFmtId="0" fontId="4" fillId="6" borderId="22" xfId="31" applyFill="1" applyBorder="1" applyProtection="1">
      <alignment horizontal="left" vertical="center" indent="1"/>
      <protection locked="0"/>
    </xf>
    <xf numFmtId="42" fontId="57" fillId="6" borderId="49" xfId="27" applyNumberFormat="1" applyFont="1" applyFill="1" applyBorder="1"/>
    <xf numFmtId="42" fontId="9" fillId="3" borderId="53" xfId="8" applyNumberFormat="1" applyFont="1" applyFill="1" applyBorder="1" applyAlignment="1">
      <alignment horizontal="right"/>
    </xf>
    <xf numFmtId="42" fontId="9" fillId="3" borderId="90" xfId="8" applyNumberFormat="1" applyFont="1" applyFill="1" applyBorder="1" applyAlignment="1">
      <alignment horizontal="right"/>
    </xf>
    <xf numFmtId="42" fontId="9" fillId="3" borderId="57" xfId="8" applyNumberFormat="1" applyFont="1" applyFill="1" applyBorder="1" applyAlignment="1">
      <alignment horizontal="right"/>
    </xf>
    <xf numFmtId="42" fontId="57" fillId="0" borderId="73" xfId="29" applyNumberFormat="1" applyFont="1" applyBorder="1"/>
    <xf numFmtId="0" fontId="98" fillId="3" borderId="12" xfId="20" applyFont="1" applyFill="1" applyBorder="1" applyAlignment="1">
      <alignment horizontal="center" wrapText="1"/>
    </xf>
    <xf numFmtId="0" fontId="0" fillId="0" borderId="39" xfId="0" applyBorder="1"/>
    <xf numFmtId="164" fontId="98" fillId="3" borderId="5" xfId="22" applyNumberFormat="1" applyFont="1" applyFill="1" applyBorder="1" applyAlignment="1">
      <alignment horizontal="left" vertical="center"/>
    </xf>
    <xf numFmtId="164" fontId="98" fillId="3" borderId="39" xfId="22" applyNumberFormat="1" applyFont="1" applyFill="1" applyBorder="1" applyAlignment="1">
      <alignment horizontal="left" vertical="center"/>
    </xf>
    <xf numFmtId="164" fontId="98" fillId="3" borderId="12" xfId="22" applyNumberFormat="1" applyFont="1" applyFill="1" applyBorder="1" applyAlignment="1">
      <alignment horizontal="left" vertical="center"/>
    </xf>
    <xf numFmtId="0" fontId="4" fillId="3" borderId="0" xfId="8" applyFill="1" applyAlignment="1">
      <alignment horizontal="center"/>
    </xf>
    <xf numFmtId="164" fontId="96" fillId="0" borderId="24" xfId="1" applyNumberFormat="1" applyFont="1" applyFill="1" applyBorder="1"/>
    <xf numFmtId="164" fontId="98" fillId="3" borderId="47" xfId="21" applyNumberFormat="1" applyFont="1" applyFill="1" applyBorder="1" applyAlignment="1">
      <alignment horizontal="center"/>
    </xf>
    <xf numFmtId="0" fontId="98" fillId="3" borderId="5" xfId="20" applyFont="1" applyFill="1" applyBorder="1" applyAlignment="1">
      <alignment horizontal="center" wrapText="1"/>
    </xf>
    <xf numFmtId="164" fontId="96" fillId="0" borderId="47" xfId="22" applyNumberFormat="1" applyFont="1" applyFill="1" applyBorder="1" applyAlignment="1">
      <alignment horizontal="center" wrapText="1"/>
    </xf>
    <xf numFmtId="164" fontId="98" fillId="3" borderId="5" xfId="22" applyNumberFormat="1" applyFont="1" applyFill="1" applyBorder="1"/>
    <xf numFmtId="164" fontId="98" fillId="3" borderId="39" xfId="22" applyNumberFormat="1" applyFont="1" applyFill="1" applyBorder="1"/>
    <xf numFmtId="164" fontId="98" fillId="3" borderId="12" xfId="22" applyNumberFormat="1" applyFont="1" applyFill="1" applyBorder="1"/>
    <xf numFmtId="0" fontId="4" fillId="3" borderId="65" xfId="8" applyFill="1" applyBorder="1" applyAlignment="1">
      <alignment horizontal="center" vertical="center" wrapText="1"/>
    </xf>
    <xf numFmtId="0" fontId="4" fillId="3" borderId="0" xfId="8" applyFill="1" applyAlignment="1">
      <alignment horizontal="center" vertical="center" wrapText="1"/>
    </xf>
    <xf numFmtId="37" fontId="2" fillId="0" borderId="23" xfId="2" applyNumberFormat="1" applyFont="1" applyFill="1" applyBorder="1" applyAlignment="1"/>
    <xf numFmtId="0" fontId="138" fillId="0" borderId="0" xfId="0" applyFont="1" applyAlignment="1">
      <alignment vertical="top" wrapText="1"/>
    </xf>
    <xf numFmtId="164" fontId="35" fillId="0" borderId="0" xfId="1" applyNumberFormat="1" applyFont="1"/>
    <xf numFmtId="0" fontId="41" fillId="0" borderId="0" xfId="0" applyFont="1" applyAlignment="1">
      <alignment horizontal="left" wrapText="1"/>
    </xf>
    <xf numFmtId="0" fontId="41" fillId="0" borderId="0" xfId="0" applyFont="1" applyAlignment="1">
      <alignment horizontal="left" vertical="top"/>
    </xf>
    <xf numFmtId="0" fontId="41" fillId="0" borderId="0" xfId="0" applyFont="1" applyAlignment="1">
      <alignment horizontal="left" vertical="top" wrapText="1"/>
    </xf>
    <xf numFmtId="0" fontId="7" fillId="2" borderId="3" xfId="0" applyFont="1" applyFill="1" applyBorder="1" applyAlignment="1">
      <alignment vertical="center"/>
    </xf>
    <xf numFmtId="0" fontId="0" fillId="2" borderId="4" xfId="0" applyFill="1" applyBorder="1"/>
    <xf numFmtId="0" fontId="0" fillId="2" borderId="5" xfId="0" applyFill="1" applyBorder="1"/>
    <xf numFmtId="0" fontId="0" fillId="2" borderId="11" xfId="0" applyFill="1" applyBorder="1"/>
    <xf numFmtId="0" fontId="0" fillId="2" borderId="1" xfId="0" applyFill="1" applyBorder="1"/>
    <xf numFmtId="0" fontId="0" fillId="2" borderId="12" xfId="0" applyFill="1" applyBorder="1"/>
    <xf numFmtId="0" fontId="7" fillId="2" borderId="2" xfId="0" applyFont="1" applyFill="1" applyBorder="1" applyAlignment="1">
      <alignment horizontal="center" vertical="center"/>
    </xf>
    <xf numFmtId="0" fontId="0" fillId="2" borderId="13" xfId="0" applyFill="1" applyBorder="1" applyAlignment="1">
      <alignment horizontal="center"/>
    </xf>
    <xf numFmtId="0" fontId="32" fillId="0" borderId="0" xfId="0" quotePrefix="1" applyFont="1" applyAlignment="1">
      <alignment horizontal="left" vertical="top" wrapText="1"/>
    </xf>
    <xf numFmtId="0" fontId="57" fillId="0" borderId="36" xfId="8" applyFont="1" applyBorder="1" applyAlignment="1">
      <alignment horizontal="left" wrapText="1"/>
    </xf>
    <xf numFmtId="0" fontId="4" fillId="0" borderId="20" xfId="8" applyBorder="1" applyAlignment="1">
      <alignment horizontal="left" wrapText="1"/>
    </xf>
    <xf numFmtId="0" fontId="4" fillId="0" borderId="30" xfId="8" applyBorder="1" applyAlignment="1">
      <alignment horizontal="left" wrapText="1"/>
    </xf>
    <xf numFmtId="0" fontId="4" fillId="0" borderId="36" xfId="8" applyBorder="1" applyAlignment="1">
      <alignment horizontal="left" wrapText="1"/>
    </xf>
    <xf numFmtId="0" fontId="4" fillId="0" borderId="35" xfId="8" applyBorder="1" applyAlignment="1">
      <alignment horizontal="left" wrapText="1"/>
    </xf>
    <xf numFmtId="0" fontId="4" fillId="0" borderId="0" xfId="8" applyAlignment="1">
      <alignment horizontal="left" wrapText="1"/>
    </xf>
    <xf numFmtId="0" fontId="4" fillId="0" borderId="32" xfId="8" applyBorder="1" applyAlignment="1">
      <alignment horizontal="left" wrapText="1"/>
    </xf>
    <xf numFmtId="0" fontId="4" fillId="0" borderId="64" xfId="8" applyBorder="1" applyAlignment="1">
      <alignment horizontal="left" vertical="top" indent="1"/>
    </xf>
    <xf numFmtId="0" fontId="4" fillId="0" borderId="74" xfId="8" applyBorder="1" applyAlignment="1">
      <alignment horizontal="left" vertical="top" indent="1"/>
    </xf>
    <xf numFmtId="0" fontId="4" fillId="0" borderId="0" xfId="8" applyAlignment="1">
      <alignment horizontal="center" wrapText="1"/>
    </xf>
    <xf numFmtId="37" fontId="104" fillId="0" borderId="0" xfId="0" applyNumberFormat="1" applyFont="1" applyAlignment="1">
      <alignment horizontal="center" vertical="center" wrapText="1"/>
    </xf>
    <xf numFmtId="0" fontId="42" fillId="0" borderId="0" xfId="0" applyFont="1" applyAlignment="1">
      <alignment horizontal="center" vertical="center" wrapText="1"/>
    </xf>
    <xf numFmtId="0" fontId="43" fillId="0" borderId="0" xfId="8" applyFont="1" applyAlignment="1">
      <alignment horizontal="center" vertical="center" wrapText="1"/>
    </xf>
    <xf numFmtId="0" fontId="0" fillId="0" borderId="0" xfId="0" applyAlignment="1">
      <alignment horizontal="center" vertical="center" wrapText="1"/>
    </xf>
    <xf numFmtId="37" fontId="52" fillId="0" borderId="65" xfId="0" applyNumberFormat="1" applyFont="1" applyBorder="1" applyAlignment="1">
      <alignment horizontal="center" vertical="center" wrapText="1"/>
    </xf>
    <xf numFmtId="0" fontId="122" fillId="0" borderId="65" xfId="0" applyFont="1" applyBorder="1" applyAlignment="1">
      <alignment horizontal="center" vertical="center"/>
    </xf>
    <xf numFmtId="0" fontId="122" fillId="0" borderId="0" xfId="0" applyFont="1" applyAlignment="1">
      <alignment horizontal="center" vertical="center"/>
    </xf>
    <xf numFmtId="0" fontId="122" fillId="0" borderId="20" xfId="0" applyFont="1" applyBorder="1" applyAlignment="1">
      <alignment horizontal="center" vertical="center"/>
    </xf>
    <xf numFmtId="0" fontId="33" fillId="0" borderId="0" xfId="8" applyFont="1" applyAlignment="1">
      <alignment horizontal="center"/>
    </xf>
    <xf numFmtId="0" fontId="3" fillId="0" borderId="1" xfId="0" applyFont="1" applyBorder="1" applyAlignment="1">
      <alignment horizontal="left" wrapText="1"/>
    </xf>
    <xf numFmtId="0" fontId="3" fillId="0" borderId="12" xfId="0" applyFont="1" applyBorder="1" applyAlignment="1">
      <alignment horizontal="left" wrapText="1"/>
    </xf>
    <xf numFmtId="0" fontId="17" fillId="9" borderId="40" xfId="12" applyFont="1" applyFill="1" applyBorder="1"/>
    <xf numFmtId="0" fontId="17" fillId="9" borderId="41" xfId="12" applyFont="1" applyFill="1" applyBorder="1"/>
    <xf numFmtId="0" fontId="17" fillId="9" borderId="42" xfId="12" applyFont="1" applyFill="1" applyBorder="1"/>
    <xf numFmtId="0" fontId="17" fillId="9" borderId="40" xfId="0" applyFont="1" applyFill="1" applyBorder="1" applyAlignment="1">
      <alignment horizontal="left"/>
    </xf>
    <xf numFmtId="0" fontId="17" fillId="9" borderId="41" xfId="0" applyFont="1" applyFill="1" applyBorder="1" applyAlignment="1">
      <alignment horizontal="left"/>
    </xf>
    <xf numFmtId="0" fontId="17" fillId="9" borderId="42" xfId="0" applyFont="1" applyFill="1" applyBorder="1" applyAlignment="1">
      <alignment horizontal="left"/>
    </xf>
    <xf numFmtId="0" fontId="17" fillId="9" borderId="40" xfId="0" applyFont="1" applyFill="1" applyBorder="1"/>
    <xf numFmtId="0" fontId="17" fillId="9" borderId="41" xfId="0" applyFont="1" applyFill="1" applyBorder="1"/>
    <xf numFmtId="0" fontId="17" fillId="9" borderId="42" xfId="0" applyFont="1" applyFill="1" applyBorder="1"/>
    <xf numFmtId="0" fontId="17" fillId="9" borderId="41" xfId="0" applyFont="1" applyFill="1" applyBorder="1" applyAlignment="1">
      <alignment wrapText="1"/>
    </xf>
    <xf numFmtId="0" fontId="17" fillId="9" borderId="42" xfId="0" applyFont="1" applyFill="1" applyBorder="1" applyAlignment="1">
      <alignment wrapText="1"/>
    </xf>
    <xf numFmtId="0" fontId="86" fillId="3" borderId="21" xfId="0" applyFont="1" applyFill="1" applyBorder="1" applyAlignment="1">
      <alignment horizontal="center" wrapText="1"/>
    </xf>
    <xf numFmtId="0" fontId="86" fillId="3" borderId="22" xfId="0" applyFont="1" applyFill="1" applyBorder="1" applyAlignment="1">
      <alignment horizontal="center"/>
    </xf>
    <xf numFmtId="0" fontId="86" fillId="3" borderId="22" xfId="0" applyFont="1" applyFill="1" applyBorder="1" applyAlignment="1">
      <alignment horizontal="center" wrapText="1"/>
    </xf>
    <xf numFmtId="0" fontId="86" fillId="3" borderId="23" xfId="0" applyFont="1" applyFill="1" applyBorder="1" applyAlignment="1">
      <alignment horizontal="center" wrapText="1"/>
    </xf>
    <xf numFmtId="0" fontId="86" fillId="3" borderId="21" xfId="0" applyFont="1" applyFill="1" applyBorder="1" applyAlignment="1">
      <alignment horizontal="center"/>
    </xf>
    <xf numFmtId="0" fontId="4" fillId="0" borderId="0" xfId="18" applyAlignment="1">
      <alignment wrapText="1"/>
    </xf>
    <xf numFmtId="0" fontId="52" fillId="0" borderId="21" xfId="18" applyFont="1" applyBorder="1" applyAlignment="1">
      <alignment horizontal="center"/>
    </xf>
    <xf numFmtId="0" fontId="52" fillId="0" borderId="23" xfId="18" applyFont="1" applyBorder="1" applyAlignment="1">
      <alignment horizontal="center"/>
    </xf>
    <xf numFmtId="0" fontId="52" fillId="0" borderId="87" xfId="18" applyFont="1" applyBorder="1" applyAlignment="1">
      <alignment horizontal="center"/>
    </xf>
    <xf numFmtId="0" fontId="4" fillId="0" borderId="0" xfId="18"/>
    <xf numFmtId="0" fontId="95" fillId="0" borderId="0" xfId="20" applyFont="1" applyAlignment="1">
      <alignment horizontal="center"/>
    </xf>
    <xf numFmtId="0" fontId="0" fillId="0" borderId="0" xfId="0"/>
    <xf numFmtId="164" fontId="96" fillId="0" borderId="21" xfId="21" applyNumberFormat="1" applyFont="1" applyFill="1" applyBorder="1" applyAlignment="1">
      <alignment horizontal="center" wrapText="1"/>
    </xf>
    <xf numFmtId="164" fontId="96" fillId="0" borderId="22" xfId="21" applyNumberFormat="1" applyFont="1" applyFill="1" applyBorder="1" applyAlignment="1">
      <alignment horizontal="center" wrapText="1"/>
    </xf>
    <xf numFmtId="0" fontId="0" fillId="0" borderId="22" xfId="0" applyBorder="1" applyAlignment="1">
      <alignment horizontal="center" wrapText="1"/>
    </xf>
    <xf numFmtId="164" fontId="95" fillId="0" borderId="2" xfId="21" applyNumberFormat="1" applyFont="1" applyFill="1" applyBorder="1" applyAlignment="1">
      <alignment horizontal="center" wrapText="1"/>
    </xf>
    <xf numFmtId="164" fontId="95" fillId="0" borderId="13" xfId="21" applyNumberFormat="1" applyFont="1" applyFill="1" applyBorder="1" applyAlignment="1">
      <alignment horizontal="center" wrapText="1"/>
    </xf>
    <xf numFmtId="164" fontId="95" fillId="0" borderId="21" xfId="21" applyNumberFormat="1" applyFont="1" applyFill="1" applyBorder="1" applyAlignment="1">
      <alignment horizontal="center" wrapText="1"/>
    </xf>
    <xf numFmtId="0" fontId="0" fillId="0" borderId="23" xfId="0" applyBorder="1" applyAlignment="1">
      <alignment horizontal="center" wrapText="1"/>
    </xf>
    <xf numFmtId="0" fontId="0" fillId="0" borderId="11" xfId="0" applyBorder="1" applyAlignment="1">
      <alignment horizontal="center" vertical="center" wrapText="1"/>
    </xf>
    <xf numFmtId="0" fontId="0" fillId="0" borderId="1" xfId="0" applyBorder="1" applyAlignment="1">
      <alignment wrapText="1"/>
    </xf>
    <xf numFmtId="0" fontId="0" fillId="0" borderId="0" xfId="0" applyAlignment="1">
      <alignment wrapText="1"/>
    </xf>
    <xf numFmtId="164" fontId="96" fillId="0" borderId="21" xfId="21" applyNumberFormat="1" applyFont="1" applyFill="1" applyBorder="1" applyAlignment="1">
      <alignment horizontal="center"/>
    </xf>
    <xf numFmtId="164" fontId="96" fillId="0" borderId="22" xfId="21" applyNumberFormat="1" applyFont="1" applyFill="1" applyBorder="1" applyAlignment="1">
      <alignment horizontal="center"/>
    </xf>
    <xf numFmtId="164" fontId="96" fillId="0" borderId="23" xfId="21" applyNumberFormat="1" applyFont="1" applyFill="1" applyBorder="1" applyAlignment="1">
      <alignment horizontal="center"/>
    </xf>
    <xf numFmtId="0" fontId="0" fillId="0" borderId="21" xfId="0" applyBorder="1" applyAlignment="1">
      <alignment horizontal="center" wrapText="1"/>
    </xf>
    <xf numFmtId="0" fontId="96" fillId="0" borderId="3" xfId="20" applyFont="1" applyBorder="1" applyAlignment="1">
      <alignment horizontal="center" vertical="center" wrapText="1"/>
    </xf>
    <xf numFmtId="0" fontId="0" fillId="0" borderId="4" xfId="0" applyBorder="1" applyAlignment="1">
      <alignment wrapText="1"/>
    </xf>
    <xf numFmtId="0" fontId="0" fillId="0" borderId="5" xfId="0" applyBorder="1" applyAlignment="1">
      <alignment wrapText="1"/>
    </xf>
    <xf numFmtId="0" fontId="0" fillId="0" borderId="11" xfId="0" applyBorder="1" applyAlignment="1">
      <alignment wrapText="1"/>
    </xf>
    <xf numFmtId="0" fontId="0" fillId="0" borderId="12" xfId="0" applyBorder="1" applyAlignment="1">
      <alignment wrapText="1"/>
    </xf>
    <xf numFmtId="0" fontId="99" fillId="0" borderId="0" xfId="20" applyFont="1" applyAlignment="1">
      <alignment horizont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22" xfId="0" applyBorder="1" applyAlignment="1">
      <alignment wrapText="1"/>
    </xf>
    <xf numFmtId="0" fontId="0" fillId="0" borderId="23" xfId="0" applyBorder="1" applyAlignment="1">
      <alignment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7" fillId="0" borderId="0" xfId="8" applyFont="1" applyAlignment="1">
      <alignment horizontal="center"/>
    </xf>
    <xf numFmtId="0" fontId="43" fillId="0" borderId="0" xfId="8" applyFont="1" applyAlignment="1">
      <alignment horizontal="center"/>
    </xf>
    <xf numFmtId="0" fontId="102" fillId="0" borderId="0" xfId="8" applyFont="1" applyAlignment="1">
      <alignment horizontal="center"/>
    </xf>
    <xf numFmtId="0" fontId="4" fillId="0" borderId="0" xfId="8" applyAlignment="1">
      <alignment wrapText="1"/>
    </xf>
    <xf numFmtId="0" fontId="52" fillId="0" borderId="20" xfId="8" applyFont="1" applyBorder="1" applyAlignment="1">
      <alignment horizontal="center"/>
    </xf>
    <xf numFmtId="0" fontId="9" fillId="15" borderId="64" xfId="0" applyFont="1" applyFill="1" applyBorder="1" applyAlignment="1">
      <alignment horizontal="left" vertical="top" wrapText="1"/>
    </xf>
    <xf numFmtId="0" fontId="9" fillId="15" borderId="76" xfId="0" applyFont="1" applyFill="1" applyBorder="1" applyAlignment="1">
      <alignment horizontal="left" vertical="top" wrapText="1"/>
    </xf>
    <xf numFmtId="0" fontId="37" fillId="15" borderId="21" xfId="0" applyFont="1" applyFill="1" applyBorder="1" applyAlignment="1">
      <alignment horizontal="center" vertical="top" wrapText="1"/>
    </xf>
    <xf numFmtId="0" fontId="37" fillId="15" borderId="22" xfId="0" applyFont="1" applyFill="1" applyBorder="1" applyAlignment="1">
      <alignment horizontal="center" vertical="top" wrapText="1"/>
    </xf>
    <xf numFmtId="0" fontId="37" fillId="15" borderId="23" xfId="0" applyFont="1" applyFill="1" applyBorder="1" applyAlignment="1">
      <alignment horizontal="center" vertical="top" wrapText="1"/>
    </xf>
    <xf numFmtId="37" fontId="4" fillId="15" borderId="75" xfId="8" quotePrefix="1" applyNumberFormat="1" applyFill="1" applyBorder="1" applyAlignment="1">
      <alignment horizontal="right" vertical="center"/>
    </xf>
    <xf numFmtId="37" fontId="4" fillId="15" borderId="29" xfId="8" quotePrefix="1" applyNumberFormat="1" applyFill="1" applyBorder="1" applyAlignment="1">
      <alignment horizontal="right" vertical="center"/>
    </xf>
    <xf numFmtId="0" fontId="67" fillId="13" borderId="22" xfId="0" applyFont="1" applyFill="1" applyBorder="1" applyAlignment="1">
      <alignment horizontal="left"/>
    </xf>
    <xf numFmtId="0" fontId="67" fillId="13" borderId="23" xfId="0" applyFont="1" applyFill="1" applyBorder="1" applyAlignment="1">
      <alignment horizontal="left"/>
    </xf>
  </cellXfs>
  <cellStyles count="50">
    <cellStyle name="Comma" xfId="1" builtinId="3"/>
    <cellStyle name="Comma 12 3" xfId="42" xr:uid="{00000000-0005-0000-0000-000001000000}"/>
    <cellStyle name="Comma 14 9" xfId="38" xr:uid="{00000000-0005-0000-0000-000002000000}"/>
    <cellStyle name="Comma 15 9" xfId="21" xr:uid="{00000000-0005-0000-0000-000003000000}"/>
    <cellStyle name="Comma 16 9" xfId="22" xr:uid="{00000000-0005-0000-0000-000004000000}"/>
    <cellStyle name="Comma 2" xfId="5" xr:uid="{00000000-0005-0000-0000-000005000000}"/>
    <cellStyle name="Comma 2 2" xfId="13" xr:uid="{00000000-0005-0000-0000-000006000000}"/>
    <cellStyle name="Comma 2 2 2 2" xfId="45" xr:uid="{00000000-0005-0000-0000-000007000000}"/>
    <cellStyle name="Comma 2 4 8" xfId="43" xr:uid="{00000000-0005-0000-0000-000008000000}"/>
    <cellStyle name="Comma 2 7 2" xfId="49" xr:uid="{00000000-0005-0000-0000-000009000000}"/>
    <cellStyle name="Comma 2 7 3" xfId="19" xr:uid="{00000000-0005-0000-0000-00000A000000}"/>
    <cellStyle name="Comma 6 2 11 2" xfId="35" xr:uid="{00000000-0005-0000-0000-00000B000000}"/>
    <cellStyle name="Currency" xfId="2" builtinId="4"/>
    <cellStyle name="Currency 2" xfId="15" xr:uid="{00000000-0005-0000-0000-00000D000000}"/>
    <cellStyle name="Currency 2 2" xfId="40" xr:uid="{00000000-0005-0000-0000-00000E000000}"/>
    <cellStyle name="Currency 2 2 2" xfId="7" xr:uid="{00000000-0005-0000-0000-00000F000000}"/>
    <cellStyle name="Normal" xfId="0" builtinId="0"/>
    <cellStyle name="Normal 10 2" xfId="8" xr:uid="{00000000-0005-0000-0000-000011000000}"/>
    <cellStyle name="Normal 14 10 3" xfId="29" xr:uid="{00000000-0005-0000-0000-000012000000}"/>
    <cellStyle name="Normal 14 8" xfId="32" xr:uid="{00000000-0005-0000-0000-000013000000}"/>
    <cellStyle name="Normal 15 2" xfId="14" xr:uid="{00000000-0005-0000-0000-000014000000}"/>
    <cellStyle name="Normal 16 9" xfId="36" xr:uid="{00000000-0005-0000-0000-000015000000}"/>
    <cellStyle name="Normal 17 2 2 2 2 2" xfId="39" xr:uid="{00000000-0005-0000-0000-000016000000}"/>
    <cellStyle name="Normal 17 9" xfId="20" xr:uid="{00000000-0005-0000-0000-000017000000}"/>
    <cellStyle name="Normal 2 2" xfId="4" xr:uid="{00000000-0005-0000-0000-000018000000}"/>
    <cellStyle name="Normal 2 2 2 2" xfId="44" xr:uid="{00000000-0005-0000-0000-000019000000}"/>
    <cellStyle name="Normal 20" xfId="17" xr:uid="{00000000-0005-0000-0000-00001A000000}"/>
    <cellStyle name="Normal 21" xfId="48" xr:uid="{00000000-0005-0000-0000-00001B000000}"/>
    <cellStyle name="Normal 24" xfId="46" xr:uid="{00000000-0005-0000-0000-00001C000000}"/>
    <cellStyle name="Normal 3 2" xfId="12" xr:uid="{00000000-0005-0000-0000-00001D000000}"/>
    <cellStyle name="Normal 4" xfId="18" xr:uid="{00000000-0005-0000-0000-00001E000000}"/>
    <cellStyle name="Normal 5" xfId="6" xr:uid="{00000000-0005-0000-0000-00001F000000}"/>
    <cellStyle name="Normal 8 10" xfId="33" xr:uid="{00000000-0005-0000-0000-000020000000}"/>
    <cellStyle name="Normal 8 12" xfId="23" xr:uid="{00000000-0005-0000-0000-000021000000}"/>
    <cellStyle name="Normal 8 12 3" xfId="27" xr:uid="{00000000-0005-0000-0000-000022000000}"/>
    <cellStyle name="Normal 9 2 11 2" xfId="34" xr:uid="{00000000-0005-0000-0000-000023000000}"/>
    <cellStyle name="Normal_2002 Sch M Adds and Deducts 8-14-03" xfId="9" xr:uid="{00000000-0005-0000-0000-000024000000}"/>
    <cellStyle name="Normal_AR workpaper --2002 Def Tax Exp by Account 8-14-02" xfId="10" xr:uid="{00000000-0005-0000-0000-000025000000}"/>
    <cellStyle name="Normal_FERC 283 by M Item 2" xfId="11" xr:uid="{00000000-0005-0000-0000-000026000000}"/>
    <cellStyle name="Normal_TrAILCo attach 6 &amp; 7 and Appendix A" xfId="16" xr:uid="{00000000-0005-0000-0000-000027000000}"/>
    <cellStyle name="Normal_TrAILCo attach 6 &amp; 7 and Appendix A 2" xfId="41" xr:uid="{00000000-0005-0000-0000-000028000000}"/>
    <cellStyle name="Percent" xfId="3" builtinId="5"/>
    <cellStyle name="Percent 9" xfId="47" xr:uid="{00000000-0005-0000-0000-00002A000000}"/>
    <cellStyle name="SAPBEXchaText 2 10 3 2" xfId="28" xr:uid="{00000000-0005-0000-0000-00002B000000}"/>
    <cellStyle name="SAPBEXchaText 9" xfId="24" xr:uid="{00000000-0005-0000-0000-00002C000000}"/>
    <cellStyle name="SAPBEXstdItem 11" xfId="26" xr:uid="{00000000-0005-0000-0000-00002D000000}"/>
    <cellStyle name="SAPBEXstdItem 2 10 3 2" xfId="31" xr:uid="{00000000-0005-0000-0000-00002E000000}"/>
    <cellStyle name="SAPBEXstdItem 5 12 3" xfId="37" xr:uid="{00000000-0005-0000-0000-00002F000000}"/>
    <cellStyle name="SAPBEXstdItemX 2 10 3 2" xfId="30" xr:uid="{00000000-0005-0000-0000-000030000000}"/>
    <cellStyle name="SAPBEXstdItemX 9" xfId="25" xr:uid="{00000000-0005-0000-0000-000031000000}"/>
  </cellStyles>
  <dxfs count="0"/>
  <tableStyles count="0" defaultTableStyle="TableStyleMedium2" defaultPivotStyle="PivotStyleLight16"/>
  <colors>
    <mruColors>
      <color rgb="FFA395C7"/>
      <color rgb="FFFFFFCC"/>
      <color rgb="FF9B90CC"/>
      <color rgb="FFCEC8E6"/>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pageSetUpPr fitToPage="1"/>
  </sheetPr>
  <dimension ref="A2:F15"/>
  <sheetViews>
    <sheetView topLeftCell="A11" workbookViewId="0">
      <selection activeCell="E15" sqref="E15"/>
    </sheetView>
  </sheetViews>
  <sheetFormatPr defaultColWidth="9.140625" defaultRowHeight="12.75"/>
  <cols>
    <col min="1" max="1" width="7" style="305" customWidth="1"/>
    <col min="2" max="2" width="22.140625" style="305" customWidth="1"/>
    <col min="3" max="3" width="19.85546875" style="305" customWidth="1"/>
    <col min="4" max="4" width="18.7109375" style="305" customWidth="1"/>
    <col min="5" max="5" width="96" style="305" customWidth="1"/>
    <col min="6" max="6" width="39.42578125" style="305" customWidth="1"/>
    <col min="7" max="16384" width="9.140625" style="305"/>
  </cols>
  <sheetData>
    <row r="2" spans="1:6">
      <c r="A2" s="305" t="s">
        <v>2272</v>
      </c>
    </row>
    <row r="3" spans="1:6" ht="15">
      <c r="A3" s="1467"/>
    </row>
    <row r="5" spans="1:6">
      <c r="A5" s="329" t="s">
        <v>1562</v>
      </c>
      <c r="B5" s="329" t="s">
        <v>787</v>
      </c>
      <c r="C5" s="332" t="s">
        <v>1357</v>
      </c>
      <c r="D5" s="329" t="s">
        <v>1563</v>
      </c>
      <c r="E5" s="332" t="s">
        <v>6</v>
      </c>
    </row>
    <row r="7" spans="1:6">
      <c r="E7" s="332" t="s">
        <v>2285</v>
      </c>
    </row>
    <row r="9" spans="1:6" ht="126">
      <c r="A9" s="305">
        <v>1</v>
      </c>
      <c r="B9" s="305" t="s">
        <v>2273</v>
      </c>
      <c r="C9" s="305" t="s">
        <v>2274</v>
      </c>
      <c r="D9" s="1466" t="s">
        <v>2275</v>
      </c>
      <c r="E9" s="1911" t="s">
        <v>2276</v>
      </c>
      <c r="F9" s="305" t="s">
        <v>2277</v>
      </c>
    </row>
    <row r="11" spans="1:6" ht="94.5">
      <c r="A11" s="305">
        <v>2</v>
      </c>
      <c r="B11" s="305" t="s">
        <v>2273</v>
      </c>
      <c r="C11" s="305" t="s">
        <v>350</v>
      </c>
      <c r="D11" s="1466" t="s">
        <v>2278</v>
      </c>
      <c r="E11" s="1911" t="s">
        <v>2279</v>
      </c>
      <c r="F11" s="305" t="s">
        <v>2280</v>
      </c>
    </row>
    <row r="13" spans="1:6" ht="78.75">
      <c r="A13" s="305">
        <v>3</v>
      </c>
      <c r="B13" s="305" t="s">
        <v>2273</v>
      </c>
      <c r="C13" s="305" t="s">
        <v>350</v>
      </c>
      <c r="D13" s="1466" t="s">
        <v>2278</v>
      </c>
      <c r="E13" s="1911" t="s">
        <v>2281</v>
      </c>
      <c r="F13" s="305" t="s">
        <v>2280</v>
      </c>
    </row>
    <row r="15" spans="1:6" ht="189">
      <c r="A15" s="305">
        <v>4</v>
      </c>
      <c r="B15" s="305" t="s">
        <v>2282</v>
      </c>
      <c r="C15" s="305" t="s">
        <v>350</v>
      </c>
      <c r="D15" s="1466" t="s">
        <v>2283</v>
      </c>
      <c r="E15" s="1911" t="s">
        <v>2284</v>
      </c>
      <c r="F15" s="305" t="s">
        <v>2280</v>
      </c>
    </row>
  </sheetData>
  <pageMargins left="0.7" right="0.7" top="0.75" bottom="0.75" header="0.3" footer="0.3"/>
  <pageSetup scale="7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115"/>
  <sheetViews>
    <sheetView topLeftCell="A22" workbookViewId="0">
      <selection activeCell="F45" sqref="F45"/>
    </sheetView>
  </sheetViews>
  <sheetFormatPr defaultRowHeight="15"/>
  <cols>
    <col min="1" max="2" width="4.7109375" customWidth="1"/>
    <col min="3" max="3" width="59.85546875" customWidth="1"/>
    <col min="4" max="5" width="14.7109375" customWidth="1"/>
    <col min="6" max="6" width="25" customWidth="1"/>
    <col min="7" max="7" width="14" bestFit="1" customWidth="1"/>
    <col min="8" max="8" width="16.5703125" customWidth="1"/>
    <col min="9" max="9" width="48.42578125" customWidth="1"/>
    <col min="10" max="10" width="5.140625" customWidth="1"/>
    <col min="11" max="11" width="26.42578125" customWidth="1"/>
  </cols>
  <sheetData>
    <row r="1" spans="1:13" ht="18">
      <c r="A1" s="335" t="s">
        <v>175</v>
      </c>
      <c r="B1" s="335"/>
      <c r="C1" s="335"/>
      <c r="D1" s="335"/>
      <c r="E1" s="335"/>
      <c r="F1" s="335"/>
      <c r="G1" s="335"/>
      <c r="H1" s="305"/>
      <c r="I1" s="305"/>
      <c r="J1" s="320"/>
      <c r="K1" s="305"/>
      <c r="L1" s="305"/>
      <c r="M1" s="305"/>
    </row>
    <row r="2" spans="1:13" ht="16.5">
      <c r="A2" s="336" t="s">
        <v>670</v>
      </c>
      <c r="B2" s="337"/>
      <c r="C2" s="337"/>
      <c r="D2" s="337"/>
      <c r="E2" s="337"/>
      <c r="F2" s="337"/>
      <c r="G2" s="337"/>
      <c r="H2" s="305"/>
      <c r="I2" s="305"/>
      <c r="J2" s="320"/>
      <c r="K2" s="305"/>
      <c r="L2" s="305"/>
      <c r="M2" s="305"/>
    </row>
    <row r="3" spans="1:13">
      <c r="A3" s="305"/>
      <c r="B3" s="305"/>
      <c r="C3" s="305"/>
      <c r="D3" s="324"/>
      <c r="E3" s="305"/>
      <c r="F3" s="305"/>
      <c r="G3" s="305"/>
      <c r="H3" s="305"/>
      <c r="I3" s="305"/>
      <c r="J3" s="320"/>
      <c r="K3" s="305"/>
      <c r="L3" s="305"/>
      <c r="M3" s="305"/>
    </row>
    <row r="4" spans="1:13">
      <c r="A4" s="305"/>
      <c r="B4" s="305"/>
      <c r="C4" s="305"/>
      <c r="D4" s="324"/>
      <c r="E4" s="305"/>
      <c r="F4" s="305"/>
      <c r="G4" s="305"/>
      <c r="H4" s="305"/>
      <c r="I4" s="305"/>
      <c r="J4" s="320"/>
      <c r="K4" s="305"/>
      <c r="L4" s="305"/>
      <c r="M4" s="305"/>
    </row>
    <row r="5" spans="1:13">
      <c r="A5" s="305"/>
      <c r="B5" s="305"/>
      <c r="C5" s="305"/>
      <c r="D5" s="329"/>
      <c r="E5" s="329"/>
      <c r="F5" s="329"/>
      <c r="G5" s="329"/>
      <c r="H5" s="329"/>
      <c r="I5" s="305"/>
      <c r="J5" s="320"/>
      <c r="K5" s="305"/>
      <c r="L5" s="305"/>
      <c r="M5" s="305"/>
    </row>
    <row r="6" spans="1:13" ht="26.25">
      <c r="A6" s="338" t="s">
        <v>671</v>
      </c>
      <c r="B6" s="338"/>
      <c r="C6" s="339"/>
      <c r="D6" s="1796" t="s">
        <v>1912</v>
      </c>
      <c r="E6" s="341" t="s">
        <v>672</v>
      </c>
      <c r="F6" s="340" t="s">
        <v>673</v>
      </c>
      <c r="G6" s="329"/>
      <c r="H6" s="329"/>
      <c r="I6" s="305"/>
      <c r="J6" s="305"/>
      <c r="K6" s="305"/>
      <c r="L6" s="305"/>
      <c r="M6" s="305"/>
    </row>
    <row r="7" spans="1:13">
      <c r="A7" s="305"/>
      <c r="B7" s="305"/>
      <c r="C7" s="305"/>
      <c r="D7" s="342"/>
      <c r="E7" s="305"/>
      <c r="F7" s="329"/>
      <c r="G7" s="329"/>
      <c r="H7" s="329"/>
      <c r="I7" s="305"/>
      <c r="J7" s="305"/>
      <c r="K7" s="305"/>
      <c r="L7" s="305"/>
      <c r="M7" s="305"/>
    </row>
    <row r="8" spans="1:13" ht="26.25">
      <c r="A8" s="343"/>
      <c r="B8" s="338" t="s">
        <v>330</v>
      </c>
      <c r="C8" s="339"/>
      <c r="D8" s="344"/>
      <c r="E8" s="345" t="s">
        <v>33</v>
      </c>
      <c r="F8" s="341"/>
      <c r="G8" s="329"/>
      <c r="H8" s="329"/>
      <c r="I8" s="305"/>
      <c r="J8" s="305"/>
      <c r="K8" s="305"/>
      <c r="L8" s="305"/>
      <c r="M8" s="305"/>
    </row>
    <row r="9" spans="1:13">
      <c r="A9" s="343"/>
      <c r="B9" s="346" t="s">
        <v>674</v>
      </c>
      <c r="C9" s="347"/>
      <c r="D9" s="348">
        <f>SUM(G66:G75)</f>
        <v>148057841</v>
      </c>
      <c r="E9" s="349"/>
      <c r="F9" s="305"/>
      <c r="G9" s="305"/>
      <c r="H9" s="1797"/>
      <c r="I9" s="305"/>
      <c r="J9" s="305"/>
      <c r="K9" s="305"/>
      <c r="L9" s="305"/>
      <c r="M9" s="305"/>
    </row>
    <row r="10" spans="1:13">
      <c r="A10" s="343"/>
      <c r="B10" s="346" t="s">
        <v>675</v>
      </c>
      <c r="C10" s="347"/>
      <c r="D10" s="348">
        <f>SUM(G76:G81)</f>
        <v>409542</v>
      </c>
      <c r="E10" s="349"/>
      <c r="F10" s="305"/>
      <c r="G10" s="305"/>
      <c r="H10" s="350"/>
      <c r="I10" s="305"/>
      <c r="J10" s="305"/>
      <c r="K10" s="305"/>
      <c r="L10" s="305"/>
      <c r="M10" s="305"/>
    </row>
    <row r="11" spans="1:13">
      <c r="A11" s="343"/>
      <c r="B11" s="346"/>
      <c r="C11" s="351"/>
      <c r="D11" s="348"/>
      <c r="E11" s="305"/>
      <c r="F11" s="305"/>
      <c r="G11" s="305"/>
      <c r="H11" s="350"/>
      <c r="I11" s="305"/>
      <c r="J11" s="305"/>
      <c r="K11" s="305"/>
      <c r="L11" s="305"/>
      <c r="M11" s="305"/>
    </row>
    <row r="12" spans="1:13">
      <c r="A12" s="343">
        <v>1</v>
      </c>
      <c r="B12" s="352" t="s">
        <v>676</v>
      </c>
      <c r="C12" s="353"/>
      <c r="D12" s="1507">
        <f>SUM(D9:D11)</f>
        <v>148467383</v>
      </c>
      <c r="E12" s="355">
        <f>Allocator.net.plant</f>
        <v>0.37582955585006861</v>
      </c>
      <c r="F12" s="354">
        <f>+D12*E12</f>
        <v>55798430.611112028</v>
      </c>
      <c r="G12" s="356"/>
      <c r="H12" s="305"/>
      <c r="I12" s="305"/>
      <c r="J12" s="305"/>
      <c r="K12" s="305"/>
      <c r="L12" s="305"/>
      <c r="M12" s="305"/>
    </row>
    <row r="13" spans="1:13">
      <c r="A13" s="343"/>
      <c r="B13" s="305"/>
      <c r="C13" s="305"/>
      <c r="D13" s="357"/>
      <c r="E13" s="358"/>
      <c r="F13" s="358"/>
      <c r="G13" s="358"/>
      <c r="H13" s="305"/>
      <c r="I13" s="305"/>
      <c r="J13" s="305"/>
      <c r="K13" s="305"/>
      <c r="L13" s="305"/>
      <c r="M13" s="305"/>
    </row>
    <row r="14" spans="1:13" ht="26.25">
      <c r="A14" s="343"/>
      <c r="B14" s="338" t="s">
        <v>331</v>
      </c>
      <c r="C14" s="339"/>
      <c r="D14" s="359"/>
      <c r="E14" s="345" t="s">
        <v>22</v>
      </c>
      <c r="F14" s="360"/>
      <c r="G14" s="358"/>
      <c r="H14" s="350"/>
      <c r="I14" s="305"/>
      <c r="J14" s="305"/>
      <c r="K14" s="305"/>
      <c r="L14" s="305"/>
      <c r="M14" s="305"/>
    </row>
    <row r="15" spans="1:13">
      <c r="A15" s="343"/>
      <c r="B15" s="346" t="s">
        <v>677</v>
      </c>
      <c r="C15" s="347"/>
      <c r="D15" s="361">
        <v>0</v>
      </c>
      <c r="E15" s="362"/>
      <c r="F15" s="362"/>
      <c r="G15" s="362"/>
      <c r="H15" s="350"/>
      <c r="I15" s="305"/>
      <c r="J15" s="305"/>
      <c r="K15" s="305"/>
      <c r="L15" s="305"/>
      <c r="M15" s="305"/>
    </row>
    <row r="16" spans="1:13">
      <c r="A16" s="343"/>
      <c r="B16" s="346" t="s">
        <v>678</v>
      </c>
      <c r="C16" s="347"/>
      <c r="D16" s="361">
        <v>0</v>
      </c>
      <c r="E16" s="305"/>
      <c r="F16" s="305"/>
      <c r="G16" s="305"/>
      <c r="H16" s="350"/>
      <c r="I16" s="305"/>
      <c r="J16" s="305"/>
      <c r="K16" s="305"/>
      <c r="L16" s="305"/>
      <c r="M16" s="305"/>
    </row>
    <row r="17" spans="1:13">
      <c r="A17" s="343"/>
      <c r="B17" s="346" t="s">
        <v>679</v>
      </c>
      <c r="C17" s="347"/>
      <c r="D17" s="361">
        <v>0</v>
      </c>
      <c r="E17" s="305"/>
      <c r="F17" s="305"/>
      <c r="G17" s="305"/>
      <c r="H17" s="350"/>
      <c r="I17" s="305"/>
      <c r="J17" s="305"/>
      <c r="K17" s="305"/>
      <c r="L17" s="305"/>
      <c r="M17" s="305"/>
    </row>
    <row r="18" spans="1:13">
      <c r="A18" s="343"/>
      <c r="B18" s="346"/>
      <c r="C18" s="347"/>
      <c r="D18" s="361"/>
      <c r="E18" s="305"/>
      <c r="F18" s="305"/>
      <c r="G18" s="305"/>
      <c r="H18" s="350"/>
      <c r="I18" s="305"/>
      <c r="J18" s="305"/>
      <c r="K18" s="305"/>
      <c r="L18" s="305"/>
      <c r="M18" s="305"/>
    </row>
    <row r="19" spans="1:13">
      <c r="A19" s="343">
        <f>A12+1</f>
        <v>2</v>
      </c>
      <c r="B19" s="352" t="s">
        <v>680</v>
      </c>
      <c r="C19" s="353"/>
      <c r="D19" s="1507">
        <f>SUM(D15:D18)</f>
        <v>0</v>
      </c>
      <c r="E19" s="363">
        <f>Allocator.wages.salary</f>
        <v>9.4690139101538909E-2</v>
      </c>
      <c r="F19" s="354">
        <f>+E19*D19</f>
        <v>0</v>
      </c>
      <c r="G19" s="356"/>
      <c r="H19" s="350"/>
      <c r="I19" s="305"/>
      <c r="J19" s="305"/>
      <c r="K19" s="305"/>
      <c r="L19" s="305"/>
      <c r="M19" s="305"/>
    </row>
    <row r="20" spans="1:13">
      <c r="A20" s="343"/>
      <c r="B20" s="332"/>
      <c r="C20" s="357"/>
      <c r="D20" s="324"/>
      <c r="E20" s="305"/>
      <c r="F20" s="305"/>
      <c r="G20" s="305"/>
      <c r="H20" s="350"/>
      <c r="I20" s="305"/>
      <c r="J20" s="305"/>
      <c r="K20" s="305"/>
      <c r="L20" s="305"/>
      <c r="M20" s="305"/>
    </row>
    <row r="21" spans="1:13">
      <c r="A21" s="343"/>
      <c r="B21" s="305"/>
      <c r="C21" s="305"/>
      <c r="D21" s="324"/>
      <c r="E21" s="305"/>
      <c r="F21" s="305"/>
      <c r="G21" s="305"/>
      <c r="H21" s="350"/>
      <c r="I21" s="305"/>
      <c r="J21" s="305"/>
      <c r="K21" s="305"/>
      <c r="L21" s="305"/>
      <c r="M21" s="305"/>
    </row>
    <row r="22" spans="1:13" ht="26.25">
      <c r="A22" s="343"/>
      <c r="B22" s="338" t="s">
        <v>681</v>
      </c>
      <c r="C22" s="339"/>
      <c r="D22" s="364"/>
      <c r="E22" s="345" t="s">
        <v>33</v>
      </c>
      <c r="F22" s="339"/>
      <c r="G22" s="305"/>
      <c r="H22" s="350"/>
      <c r="I22" s="305"/>
      <c r="J22" s="305"/>
      <c r="K22" s="305"/>
      <c r="L22" s="305"/>
      <c r="M22" s="305"/>
    </row>
    <row r="23" spans="1:13">
      <c r="A23" s="343"/>
      <c r="B23" s="346" t="s">
        <v>682</v>
      </c>
      <c r="C23" s="347"/>
      <c r="D23" s="348">
        <f>G82</f>
        <v>123018</v>
      </c>
      <c r="E23" s="305" t="s">
        <v>683</v>
      </c>
      <c r="F23" s="305"/>
      <c r="G23" s="305"/>
      <c r="H23" s="365"/>
      <c r="I23" s="305"/>
      <c r="J23" s="305"/>
      <c r="K23" s="305"/>
      <c r="L23" s="305"/>
      <c r="M23" s="305"/>
    </row>
    <row r="24" spans="1:13">
      <c r="A24" s="343"/>
      <c r="B24" s="346" t="str">
        <f>C83</f>
        <v>Foreign Insurance Premium - Federal Insurance Tax</v>
      </c>
      <c r="C24" s="347"/>
      <c r="D24" s="366">
        <f>G83</f>
        <v>1696361</v>
      </c>
      <c r="E24" s="305"/>
      <c r="F24" s="305"/>
      <c r="G24" s="305"/>
      <c r="H24" s="305"/>
      <c r="I24" s="305"/>
      <c r="J24" s="305"/>
      <c r="K24" s="305"/>
      <c r="L24" s="305"/>
      <c r="M24" s="305"/>
    </row>
    <row r="25" spans="1:13">
      <c r="A25" s="343">
        <f>A19+1</f>
        <v>3</v>
      </c>
      <c r="B25" s="352" t="s">
        <v>684</v>
      </c>
      <c r="C25" s="353"/>
      <c r="D25" s="1507">
        <f>SUM(D23:D24)</f>
        <v>1819379</v>
      </c>
      <c r="E25" s="355">
        <f>Allocator.net.plant</f>
        <v>0.37582955585006861</v>
      </c>
      <c r="F25" s="354">
        <f>+E25*D25</f>
        <v>683776.40149294201</v>
      </c>
      <c r="G25" s="356"/>
      <c r="H25" s="305"/>
      <c r="I25" s="305"/>
      <c r="J25" s="305"/>
      <c r="K25" s="305"/>
      <c r="L25" s="305"/>
      <c r="M25" s="305"/>
    </row>
    <row r="26" spans="1:13">
      <c r="A26" s="343"/>
      <c r="B26" s="305"/>
      <c r="C26" s="305"/>
      <c r="D26" s="324"/>
      <c r="E26" s="305"/>
      <c r="F26" s="305"/>
      <c r="G26" s="305"/>
      <c r="H26" s="305"/>
      <c r="I26" s="305"/>
      <c r="J26" s="305"/>
      <c r="K26" s="305"/>
      <c r="L26" s="305"/>
      <c r="M26" s="305"/>
    </row>
    <row r="27" spans="1:13" ht="15.75" thickBot="1">
      <c r="A27" s="343">
        <f>A25+1</f>
        <v>4</v>
      </c>
      <c r="B27" s="352" t="str">
        <f>"Appendix A input: Total Included Taxes (Lines "&amp;A12&amp;" + "&amp;A19&amp;" + "&amp;A25&amp;")"</f>
        <v>Appendix A input: Total Included Taxes (Lines 1 + 2 + 3)</v>
      </c>
      <c r="C27" s="353"/>
      <c r="D27" s="1507">
        <f>D12+D19+D25</f>
        <v>150286762</v>
      </c>
      <c r="E27" s="353"/>
      <c r="F27" s="367">
        <f>+F25+F19+F12</f>
        <v>56482207.012604967</v>
      </c>
      <c r="G27" s="356"/>
      <c r="H27" s="305" t="s">
        <v>685</v>
      </c>
      <c r="I27" s="305"/>
      <c r="J27" s="305"/>
      <c r="K27" s="305"/>
      <c r="L27" s="305"/>
      <c r="M27" s="305"/>
    </row>
    <row r="28" spans="1:13" ht="15.75" thickTop="1">
      <c r="A28" s="343"/>
      <c r="B28" s="305"/>
      <c r="C28" s="320"/>
      <c r="D28" s="324"/>
      <c r="E28" s="305"/>
      <c r="F28" s="305"/>
      <c r="G28" s="305"/>
      <c r="H28" s="305"/>
      <c r="I28" s="305"/>
      <c r="J28" s="305"/>
      <c r="K28" s="305"/>
      <c r="L28" s="305"/>
      <c r="M28" s="305"/>
    </row>
    <row r="29" spans="1:13">
      <c r="A29" s="343"/>
      <c r="B29" s="305"/>
      <c r="C29" s="320"/>
      <c r="D29" s="324"/>
      <c r="E29" s="356"/>
      <c r="F29" s="305"/>
      <c r="G29" s="305"/>
      <c r="H29" s="305"/>
      <c r="I29" s="305"/>
      <c r="J29" s="320"/>
      <c r="K29" s="305"/>
      <c r="L29" s="305"/>
      <c r="M29" s="305"/>
    </row>
    <row r="30" spans="1:13">
      <c r="A30" s="343"/>
      <c r="B30" s="338" t="s">
        <v>686</v>
      </c>
      <c r="C30" s="339"/>
      <c r="D30" s="364"/>
      <c r="E30" s="305"/>
      <c r="F30" s="305"/>
      <c r="G30" s="305"/>
      <c r="H30" s="305"/>
      <c r="I30" s="305"/>
      <c r="J30" s="320"/>
      <c r="K30" s="305"/>
      <c r="L30" s="305"/>
      <c r="M30" s="305"/>
    </row>
    <row r="31" spans="1:13">
      <c r="A31" s="343"/>
      <c r="B31" s="368" t="str">
        <f>C86</f>
        <v>Local Franchise</v>
      </c>
      <c r="C31" s="347"/>
      <c r="D31" s="348">
        <f>G86</f>
        <v>44055871</v>
      </c>
      <c r="E31" s="369"/>
      <c r="F31" s="305"/>
      <c r="G31" s="305"/>
      <c r="H31" s="305"/>
      <c r="I31" s="305"/>
      <c r="J31" s="320"/>
      <c r="K31" s="305"/>
      <c r="L31" s="305"/>
      <c r="M31" s="305"/>
    </row>
    <row r="32" spans="1:13">
      <c r="A32" s="343"/>
      <c r="B32" s="368" t="str">
        <f t="shared" ref="B32:B38" si="0">C92</f>
        <v>Montana Energy License</v>
      </c>
      <c r="C32" s="347"/>
      <c r="D32" s="348">
        <f>G92</f>
        <v>323457</v>
      </c>
      <c r="E32" s="370"/>
      <c r="F32" s="305"/>
      <c r="G32" s="305"/>
      <c r="H32" s="305"/>
      <c r="I32" s="305"/>
      <c r="J32" s="320"/>
      <c r="K32" s="305"/>
      <c r="L32" s="305"/>
      <c r="M32" s="305"/>
    </row>
    <row r="33" spans="1:13">
      <c r="A33" s="343"/>
      <c r="B33" s="368" t="str">
        <f t="shared" si="0"/>
        <v>Montana Wholesale Energy</v>
      </c>
      <c r="C33" s="347"/>
      <c r="D33" s="348">
        <f t="shared" ref="D33:D38" si="1">G93</f>
        <v>230467</v>
      </c>
      <c r="E33" s="370"/>
      <c r="F33" s="305"/>
      <c r="G33" s="305"/>
      <c r="H33" s="305"/>
      <c r="I33" s="305"/>
      <c r="J33" s="320"/>
      <c r="K33" s="305"/>
      <c r="L33" s="305"/>
      <c r="M33" s="305"/>
    </row>
    <row r="34" spans="1:13">
      <c r="A34" s="343"/>
      <c r="B34" s="368" t="str">
        <f t="shared" si="0"/>
        <v>Idaho Generation Tax (KWh)</v>
      </c>
      <c r="C34" s="347"/>
      <c r="D34" s="348">
        <f t="shared" si="1"/>
        <v>60795</v>
      </c>
      <c r="E34" s="371"/>
      <c r="F34" s="305"/>
      <c r="G34" s="305"/>
      <c r="H34" s="305"/>
      <c r="I34" s="305"/>
      <c r="J34" s="320"/>
      <c r="K34" s="305"/>
      <c r="L34" s="305"/>
      <c r="M34" s="305"/>
    </row>
    <row r="35" spans="1:13">
      <c r="A35" s="343"/>
      <c r="B35" s="368" t="str">
        <f t="shared" si="0"/>
        <v>Oregon Department of Energy</v>
      </c>
      <c r="C35" s="372"/>
      <c r="D35" s="348">
        <f t="shared" si="1"/>
        <v>1421686</v>
      </c>
      <c r="E35" s="370"/>
      <c r="F35" s="305"/>
      <c r="G35" s="305"/>
      <c r="H35" s="305"/>
      <c r="I35" s="305"/>
      <c r="J35" s="320"/>
      <c r="K35" s="305"/>
      <c r="L35" s="305"/>
      <c r="M35" s="305"/>
    </row>
    <row r="36" spans="1:13">
      <c r="A36" s="343"/>
      <c r="B36" s="373" t="str">
        <f t="shared" si="0"/>
        <v>Wyoming Wind Generation Tax</v>
      </c>
      <c r="C36" s="372"/>
      <c r="D36" s="348">
        <f t="shared" si="1"/>
        <v>4304390</v>
      </c>
      <c r="E36" s="370"/>
      <c r="F36" s="305"/>
      <c r="G36" s="305"/>
      <c r="H36" s="305"/>
      <c r="I36" s="305"/>
      <c r="J36" s="320"/>
      <c r="K36" s="305"/>
      <c r="L36" s="305"/>
      <c r="M36" s="305"/>
    </row>
    <row r="37" spans="1:13">
      <c r="A37" s="343"/>
      <c r="B37" s="368" t="str">
        <f t="shared" si="0"/>
        <v>Washington Public Utility Tax</v>
      </c>
      <c r="C37" s="368"/>
      <c r="D37" s="348">
        <f t="shared" si="1"/>
        <v>17123011</v>
      </c>
      <c r="E37" s="370"/>
      <c r="F37" s="305"/>
      <c r="G37" s="305"/>
      <c r="H37" s="305"/>
      <c r="I37" s="305"/>
      <c r="J37" s="320"/>
      <c r="K37" s="305"/>
      <c r="L37" s="305"/>
      <c r="M37" s="305"/>
    </row>
    <row r="38" spans="1:13">
      <c r="A38" s="343"/>
      <c r="B38" s="368" t="str">
        <f t="shared" si="0"/>
        <v>Other (Business &amp; Occupation, Nevada Comm. Tax, Use)</v>
      </c>
      <c r="C38" s="368"/>
      <c r="D38" s="348">
        <f t="shared" si="1"/>
        <v>28083</v>
      </c>
      <c r="E38" s="370"/>
      <c r="F38" s="305"/>
      <c r="G38" s="305"/>
      <c r="H38" s="305"/>
      <c r="I38" s="305"/>
      <c r="J38" s="320"/>
      <c r="K38" s="305"/>
      <c r="L38" s="305"/>
      <c r="M38" s="305"/>
    </row>
    <row r="39" spans="1:13">
      <c r="A39" s="343"/>
      <c r="B39" s="368"/>
      <c r="C39" s="368"/>
      <c r="D39" s="348"/>
      <c r="E39" s="370"/>
      <c r="F39" s="305"/>
      <c r="G39" s="305"/>
      <c r="H39" s="305"/>
      <c r="I39" s="305"/>
      <c r="J39" s="320"/>
      <c r="K39" s="305"/>
      <c r="L39" s="305"/>
      <c r="M39" s="305"/>
    </row>
    <row r="40" spans="1:13">
      <c r="A40" s="343">
        <f>A27+1</f>
        <v>5</v>
      </c>
      <c r="B40" s="352" t="s">
        <v>687</v>
      </c>
      <c r="C40" s="352"/>
      <c r="D40" s="354">
        <f>SUM(D31:D39)</f>
        <v>67547760</v>
      </c>
      <c r="E40" s="374"/>
      <c r="F40" s="374"/>
      <c r="G40" s="374"/>
      <c r="H40" s="305"/>
      <c r="I40" s="305"/>
      <c r="J40" s="320"/>
      <c r="K40" s="305"/>
      <c r="L40" s="305"/>
      <c r="M40" s="305"/>
    </row>
    <row r="41" spans="1:13">
      <c r="A41" s="343"/>
      <c r="B41" s="305"/>
      <c r="C41" s="305"/>
      <c r="D41" s="375"/>
      <c r="E41" s="376"/>
      <c r="F41" s="305"/>
      <c r="G41" s="305"/>
      <c r="H41" s="305"/>
      <c r="I41" s="305"/>
      <c r="J41" s="320"/>
      <c r="K41" s="305"/>
      <c r="L41" s="305"/>
      <c r="M41" s="305"/>
    </row>
    <row r="42" spans="1:13">
      <c r="A42" s="343">
        <f>+A40+1</f>
        <v>6</v>
      </c>
      <c r="B42" s="332" t="str">
        <f>"Total Other Taxes Included and Excluded (Line "&amp;A27&amp;" + Line "&amp;A40&amp;")"</f>
        <v>Total Other Taxes Included and Excluded (Line 4 + Line 5)</v>
      </c>
      <c r="C42" s="332"/>
      <c r="D42" s="377">
        <f>D40+D27</f>
        <v>217834522</v>
      </c>
      <c r="E42" s="374"/>
      <c r="F42" s="374"/>
      <c r="G42" s="374"/>
      <c r="H42" s="305"/>
      <c r="I42" s="305"/>
      <c r="J42" s="320"/>
      <c r="K42" s="305"/>
      <c r="L42" s="305"/>
      <c r="M42" s="305"/>
    </row>
    <row r="43" spans="1:13">
      <c r="A43" s="343"/>
      <c r="B43" s="305"/>
      <c r="C43" s="305"/>
      <c r="D43" s="324"/>
      <c r="E43" s="305"/>
      <c r="F43" s="305"/>
      <c r="G43" s="305"/>
      <c r="H43" s="305"/>
      <c r="I43" s="305"/>
      <c r="J43" s="320"/>
      <c r="K43" s="305"/>
      <c r="L43" s="305"/>
      <c r="M43" s="305"/>
    </row>
    <row r="44" spans="1:13">
      <c r="A44" s="305"/>
      <c r="B44" s="332" t="s">
        <v>688</v>
      </c>
      <c r="C44" s="332"/>
      <c r="D44" s="305"/>
      <c r="E44" s="378"/>
      <c r="F44" s="378"/>
      <c r="G44" s="378"/>
      <c r="H44" s="305"/>
      <c r="I44" s="305"/>
      <c r="J44" s="320"/>
      <c r="K44" s="305"/>
      <c r="L44" s="305"/>
      <c r="M44" s="305"/>
    </row>
    <row r="45" spans="1:13">
      <c r="A45" s="343">
        <f>+A42+1</f>
        <v>7</v>
      </c>
      <c r="B45" s="305"/>
      <c r="C45" s="379" t="s">
        <v>689</v>
      </c>
      <c r="D45" s="380">
        <f>INDEX(Inputs_EndYrBal,MATCH(C45,Inputs_FF1_Map,0))</f>
        <v>217834522</v>
      </c>
      <c r="E45" s="378"/>
      <c r="F45" s="378"/>
      <c r="G45" s="378"/>
      <c r="H45" s="305" t="s">
        <v>2184</v>
      </c>
      <c r="I45" s="305"/>
      <c r="J45" s="320"/>
      <c r="K45" s="305"/>
      <c r="L45" s="305"/>
      <c r="M45" s="305"/>
    </row>
    <row r="46" spans="1:13">
      <c r="A46" s="305"/>
      <c r="B46" s="305"/>
      <c r="C46" s="321"/>
      <c r="D46" s="378"/>
      <c r="E46" s="378"/>
      <c r="F46" s="378"/>
      <c r="G46" s="378"/>
      <c r="H46" s="305"/>
      <c r="I46" s="305"/>
      <c r="J46" s="320"/>
      <c r="K46" s="305"/>
      <c r="L46" s="305"/>
      <c r="M46" s="305"/>
    </row>
    <row r="47" spans="1:13">
      <c r="A47" s="343">
        <f>A45+1</f>
        <v>8</v>
      </c>
      <c r="B47" s="305"/>
      <c r="C47" s="321" t="str">
        <f>"Difference  (Line "&amp;A42&amp;" - Line "&amp;A45&amp;")"</f>
        <v>Difference  (Line 6 - Line 7)</v>
      </c>
      <c r="D47" s="381">
        <f>+D42-D45</f>
        <v>0</v>
      </c>
      <c r="E47" s="382"/>
      <c r="F47" s="305"/>
      <c r="G47" s="305"/>
      <c r="H47" s="305" t="s">
        <v>690</v>
      </c>
      <c r="I47" s="305"/>
      <c r="J47" s="320"/>
      <c r="K47" s="305"/>
      <c r="L47" s="305"/>
      <c r="M47" s="305"/>
    </row>
    <row r="48" spans="1:13">
      <c r="A48" s="305"/>
      <c r="B48" s="305"/>
      <c r="C48" s="321"/>
      <c r="D48" s="383"/>
      <c r="E48" s="378"/>
      <c r="F48" s="378"/>
      <c r="G48" s="378"/>
      <c r="H48" s="305"/>
      <c r="I48" s="305"/>
      <c r="J48" s="320"/>
      <c r="K48" s="305"/>
      <c r="L48" s="305"/>
      <c r="M48" s="305"/>
    </row>
    <row r="49" spans="1:13">
      <c r="A49" s="305"/>
      <c r="B49" s="305" t="s">
        <v>691</v>
      </c>
      <c r="C49" s="305"/>
      <c r="D49" s="356"/>
      <c r="E49" s="384"/>
      <c r="F49" s="384"/>
      <c r="G49" s="384"/>
      <c r="H49" s="305"/>
      <c r="I49" s="305"/>
      <c r="J49" s="320"/>
      <c r="K49" s="305"/>
      <c r="L49" s="305"/>
      <c r="M49" s="305"/>
    </row>
    <row r="50" spans="1:13">
      <c r="A50" s="305"/>
      <c r="B50" s="305" t="s">
        <v>230</v>
      </c>
      <c r="C50" s="305" t="s">
        <v>692</v>
      </c>
      <c r="D50" s="356"/>
      <c r="E50" s="384"/>
      <c r="F50" s="384"/>
      <c r="G50" s="384"/>
      <c r="H50" s="305"/>
      <c r="I50" s="305"/>
      <c r="J50" s="320"/>
      <c r="K50" s="305"/>
      <c r="L50" s="305"/>
      <c r="M50" s="305"/>
    </row>
    <row r="51" spans="1:13">
      <c r="A51" s="305"/>
      <c r="B51" s="305"/>
      <c r="C51" s="320" t="s">
        <v>693</v>
      </c>
      <c r="D51" s="356"/>
      <c r="E51" s="305"/>
      <c r="F51" s="384"/>
      <c r="G51" s="384"/>
      <c r="H51" s="305"/>
      <c r="I51" s="305"/>
      <c r="J51" s="320"/>
      <c r="K51" s="305"/>
      <c r="L51" s="305"/>
      <c r="M51" s="305"/>
    </row>
    <row r="52" spans="1:13">
      <c r="A52" s="305"/>
      <c r="B52" s="305" t="s">
        <v>233</v>
      </c>
      <c r="C52" s="305" t="s">
        <v>694</v>
      </c>
      <c r="D52" s="356"/>
      <c r="E52" s="305"/>
      <c r="F52" s="384"/>
      <c r="G52" s="384"/>
      <c r="H52" s="305"/>
      <c r="I52" s="305"/>
      <c r="J52" s="320"/>
      <c r="K52" s="305"/>
      <c r="L52" s="305"/>
      <c r="M52" s="305"/>
    </row>
    <row r="53" spans="1:13">
      <c r="A53" s="305"/>
      <c r="B53" s="305"/>
      <c r="C53" s="320" t="s">
        <v>693</v>
      </c>
      <c r="D53" s="356"/>
      <c r="E53" s="305"/>
      <c r="F53" s="384"/>
      <c r="G53" s="384"/>
      <c r="H53" s="305"/>
      <c r="I53" s="305"/>
      <c r="J53" s="320"/>
      <c r="K53" s="305"/>
      <c r="L53" s="305"/>
      <c r="M53" s="305"/>
    </row>
    <row r="54" spans="1:13">
      <c r="A54" s="305"/>
      <c r="B54" s="305" t="s">
        <v>235</v>
      </c>
      <c r="C54" s="305" t="s">
        <v>695</v>
      </c>
      <c r="D54" s="356"/>
      <c r="E54" s="305"/>
      <c r="F54" s="384"/>
      <c r="G54" s="384"/>
      <c r="H54" s="305"/>
      <c r="I54" s="305"/>
      <c r="J54" s="320"/>
      <c r="K54" s="305"/>
      <c r="L54" s="305"/>
      <c r="M54" s="305"/>
    </row>
    <row r="55" spans="1:13">
      <c r="A55" s="305"/>
      <c r="B55" s="305" t="s">
        <v>236</v>
      </c>
      <c r="C55" s="320" t="s">
        <v>696</v>
      </c>
      <c r="D55" s="356"/>
      <c r="E55" s="305"/>
      <c r="F55" s="384"/>
      <c r="G55" s="384"/>
      <c r="H55" s="305"/>
      <c r="I55" s="305"/>
      <c r="J55" s="320"/>
      <c r="K55" s="305"/>
      <c r="L55" s="305"/>
      <c r="M55" s="305"/>
    </row>
    <row r="56" spans="1:13">
      <c r="A56" s="305"/>
      <c r="B56" s="305"/>
      <c r="C56" s="305" t="s">
        <v>697</v>
      </c>
      <c r="D56" s="356"/>
      <c r="E56" s="305"/>
      <c r="F56" s="305"/>
      <c r="G56" s="305"/>
      <c r="H56" s="305"/>
      <c r="I56" s="305"/>
      <c r="J56" s="320"/>
      <c r="K56" s="305"/>
      <c r="L56" s="305"/>
      <c r="M56" s="305"/>
    </row>
    <row r="57" spans="1:13">
      <c r="A57" s="305"/>
      <c r="B57" s="305"/>
      <c r="C57" s="305" t="s">
        <v>698</v>
      </c>
      <c r="D57" s="324"/>
      <c r="E57" s="305"/>
      <c r="F57" s="305"/>
      <c r="G57" s="305"/>
      <c r="H57" s="305"/>
      <c r="I57" s="305"/>
      <c r="J57" s="320"/>
      <c r="K57" s="305"/>
      <c r="L57" s="305"/>
      <c r="M57" s="305"/>
    </row>
    <row r="58" spans="1:13">
      <c r="A58" s="305"/>
      <c r="B58" s="305" t="s">
        <v>238</v>
      </c>
      <c r="C58" s="305" t="s">
        <v>699</v>
      </c>
      <c r="D58" s="324"/>
      <c r="E58" s="305"/>
      <c r="F58" s="305"/>
      <c r="G58" s="305"/>
      <c r="H58" s="305"/>
      <c r="I58" s="305"/>
      <c r="J58" s="320"/>
      <c r="K58" s="305"/>
      <c r="L58" s="305"/>
      <c r="M58" s="305"/>
    </row>
    <row r="59" spans="1:13">
      <c r="A59" s="305"/>
      <c r="B59" s="305"/>
      <c r="C59" s="305"/>
      <c r="D59" s="324"/>
      <c r="E59" s="305"/>
      <c r="F59" s="305"/>
      <c r="G59" s="305"/>
      <c r="H59" s="305"/>
      <c r="I59" s="305"/>
      <c r="J59" s="320"/>
      <c r="K59" s="305"/>
      <c r="L59" s="305"/>
      <c r="M59" s="305"/>
    </row>
    <row r="60" spans="1:13">
      <c r="A60" s="305"/>
      <c r="B60" s="305"/>
      <c r="C60" s="305"/>
      <c r="D60" s="324"/>
      <c r="E60" s="305"/>
      <c r="F60" s="305"/>
      <c r="G60" s="305"/>
      <c r="H60" s="384"/>
      <c r="I60" s="305"/>
      <c r="J60" s="320"/>
      <c r="K60" s="305"/>
      <c r="L60" s="305"/>
      <c r="M60" s="305"/>
    </row>
    <row r="61" spans="1:13">
      <c r="A61" s="305"/>
      <c r="B61" s="305"/>
      <c r="C61" s="305"/>
      <c r="D61" s="305"/>
      <c r="E61" s="324"/>
      <c r="F61" s="305"/>
      <c r="G61" s="305"/>
      <c r="H61" s="305"/>
      <c r="I61" s="384"/>
      <c r="J61" s="305"/>
      <c r="K61" s="320"/>
      <c r="L61" s="305"/>
      <c r="M61" s="305"/>
    </row>
    <row r="62" spans="1:13" ht="15.75" thickBot="1">
      <c r="A62" s="305"/>
      <c r="B62" s="305"/>
      <c r="C62" s="305"/>
      <c r="D62" s="305"/>
      <c r="E62" s="324"/>
      <c r="F62" s="305"/>
      <c r="G62" s="305"/>
      <c r="H62" s="305"/>
      <c r="I62" s="384"/>
      <c r="J62" s="305"/>
      <c r="K62" s="320"/>
      <c r="L62" s="305"/>
      <c r="M62" s="305"/>
    </row>
    <row r="63" spans="1:13" ht="15.75" thickBot="1">
      <c r="A63" s="305"/>
      <c r="B63" s="385" t="s">
        <v>700</v>
      </c>
      <c r="C63" s="386"/>
      <c r="D63" s="386"/>
      <c r="E63" s="387"/>
      <c r="F63" s="386"/>
      <c r="G63" s="386"/>
      <c r="H63" s="386"/>
      <c r="I63" s="388"/>
      <c r="J63" s="389"/>
      <c r="K63" s="320"/>
      <c r="L63" s="305"/>
      <c r="M63" s="305"/>
    </row>
    <row r="64" spans="1:13">
      <c r="A64" s="305"/>
      <c r="B64" s="390"/>
      <c r="C64" s="305"/>
      <c r="D64" s="305"/>
      <c r="E64" s="324"/>
      <c r="F64" s="305"/>
      <c r="G64" s="305"/>
      <c r="H64" s="305"/>
      <c r="I64" s="384"/>
      <c r="J64" s="391"/>
      <c r="K64" s="320"/>
      <c r="L64" s="305"/>
      <c r="M64" s="305"/>
    </row>
    <row r="65" spans="1:13">
      <c r="A65" s="305"/>
      <c r="B65" s="392"/>
      <c r="C65" s="320"/>
      <c r="D65" s="329" t="s">
        <v>701</v>
      </c>
      <c r="E65" s="329" t="s">
        <v>283</v>
      </c>
      <c r="F65" s="329" t="s">
        <v>702</v>
      </c>
      <c r="G65" s="329" t="s">
        <v>703</v>
      </c>
      <c r="H65" s="329"/>
      <c r="I65" s="305"/>
      <c r="J65" s="391"/>
      <c r="K65" s="305"/>
      <c r="L65" s="305"/>
      <c r="M65" s="305"/>
    </row>
    <row r="66" spans="1:13">
      <c r="A66" s="305"/>
      <c r="B66" s="392"/>
      <c r="C66" s="393" t="s">
        <v>2288</v>
      </c>
      <c r="D66" s="1900" t="s">
        <v>1913</v>
      </c>
      <c r="E66" s="1900">
        <v>6</v>
      </c>
      <c r="F66" s="1900" t="s">
        <v>1914</v>
      </c>
      <c r="G66" s="395">
        <v>298742</v>
      </c>
      <c r="H66" s="396">
        <v>2024</v>
      </c>
      <c r="I66" s="305"/>
      <c r="J66" s="391"/>
      <c r="K66" s="374"/>
      <c r="L66" s="305"/>
      <c r="M66" s="305"/>
    </row>
    <row r="67" spans="1:13">
      <c r="A67" s="305"/>
      <c r="B67" s="392"/>
      <c r="C67" s="393" t="s">
        <v>2289</v>
      </c>
      <c r="D67" s="1900" t="s">
        <v>1913</v>
      </c>
      <c r="E67" s="1900">
        <v>7</v>
      </c>
      <c r="F67" s="1900" t="s">
        <v>1914</v>
      </c>
      <c r="G67" s="395">
        <v>4583128</v>
      </c>
      <c r="H67" s="396">
        <v>2024</v>
      </c>
      <c r="I67" s="305"/>
      <c r="J67" s="391"/>
      <c r="K67" s="305"/>
      <c r="L67" s="305"/>
      <c r="M67" s="305"/>
    </row>
    <row r="68" spans="1:13">
      <c r="A68" s="305"/>
      <c r="B68" s="392"/>
      <c r="C68" s="393" t="s">
        <v>2290</v>
      </c>
      <c r="D68" s="1900" t="s">
        <v>1913</v>
      </c>
      <c r="E68" s="1900">
        <v>8</v>
      </c>
      <c r="F68" s="1900" t="s">
        <v>1914</v>
      </c>
      <c r="G68" s="395">
        <v>1139111</v>
      </c>
      <c r="H68" s="396">
        <v>2024</v>
      </c>
      <c r="I68" s="305"/>
      <c r="J68" s="391"/>
      <c r="K68" s="305"/>
      <c r="L68" s="305"/>
      <c r="M68" s="305"/>
    </row>
    <row r="69" spans="1:13">
      <c r="A69" s="305"/>
      <c r="B69" s="392"/>
      <c r="C69" s="393" t="s">
        <v>2291</v>
      </c>
      <c r="D69" s="1900" t="s">
        <v>1913</v>
      </c>
      <c r="E69" s="1900">
        <v>9</v>
      </c>
      <c r="F69" s="1900" t="s">
        <v>1914</v>
      </c>
      <c r="G69" s="395">
        <v>3558785</v>
      </c>
      <c r="H69" s="396">
        <v>2024</v>
      </c>
      <c r="I69" s="305"/>
      <c r="J69" s="391"/>
      <c r="K69" s="305"/>
      <c r="L69" s="305"/>
      <c r="M69" s="305"/>
    </row>
    <row r="70" spans="1:13">
      <c r="A70" s="305"/>
      <c r="B70" s="392"/>
      <c r="C70" s="393" t="s">
        <v>2292</v>
      </c>
      <c r="D70" s="1900" t="s">
        <v>1913</v>
      </c>
      <c r="E70" s="1900">
        <v>10</v>
      </c>
      <c r="F70" s="1900" t="s">
        <v>1914</v>
      </c>
      <c r="G70" s="395">
        <v>5384806</v>
      </c>
      <c r="H70" s="396">
        <v>2024</v>
      </c>
      <c r="I70" s="305"/>
      <c r="J70" s="391"/>
      <c r="K70" s="397"/>
      <c r="L70" s="305"/>
      <c r="M70" s="305"/>
    </row>
    <row r="71" spans="1:13">
      <c r="A71" s="305"/>
      <c r="B71" s="392"/>
      <c r="C71" s="393" t="s">
        <v>2293</v>
      </c>
      <c r="D71" s="1900" t="s">
        <v>1913</v>
      </c>
      <c r="E71" s="1900">
        <v>11</v>
      </c>
      <c r="F71" s="1900" t="s">
        <v>1914</v>
      </c>
      <c r="G71" s="395">
        <v>18672</v>
      </c>
      <c r="H71" s="396">
        <v>2024</v>
      </c>
      <c r="I71" s="305"/>
      <c r="J71" s="391"/>
      <c r="K71" s="397"/>
      <c r="L71" s="305"/>
      <c r="M71" s="305"/>
    </row>
    <row r="72" spans="1:13">
      <c r="A72" s="305"/>
      <c r="B72" s="392"/>
      <c r="C72" s="393" t="s">
        <v>2294</v>
      </c>
      <c r="D72" s="1900" t="s">
        <v>1913</v>
      </c>
      <c r="E72" s="1900">
        <v>12</v>
      </c>
      <c r="F72" s="1900" t="s">
        <v>1914</v>
      </c>
      <c r="G72" s="395">
        <v>40903614</v>
      </c>
      <c r="H72" s="396">
        <v>2024</v>
      </c>
      <c r="I72" s="305"/>
      <c r="J72" s="391"/>
      <c r="K72" s="397"/>
      <c r="L72" s="305"/>
      <c r="M72" s="305"/>
    </row>
    <row r="73" spans="1:13">
      <c r="A73" s="305"/>
      <c r="B73" s="392"/>
      <c r="C73" s="393" t="s">
        <v>2295</v>
      </c>
      <c r="D73" s="1900" t="s">
        <v>1913</v>
      </c>
      <c r="E73" s="1900">
        <v>13</v>
      </c>
      <c r="F73" s="1900" t="s">
        <v>1914</v>
      </c>
      <c r="G73" s="395">
        <v>63057131</v>
      </c>
      <c r="H73" s="396">
        <v>2024</v>
      </c>
      <c r="I73" s="305"/>
      <c r="J73" s="391"/>
      <c r="K73" s="397"/>
      <c r="L73" s="305"/>
      <c r="M73" s="305"/>
    </row>
    <row r="74" spans="1:13">
      <c r="A74" s="305"/>
      <c r="B74" s="392"/>
      <c r="C74" s="393" t="s">
        <v>2296</v>
      </c>
      <c r="D74" s="1900" t="s">
        <v>1913</v>
      </c>
      <c r="E74" s="1900">
        <v>14</v>
      </c>
      <c r="F74" s="1900" t="s">
        <v>1914</v>
      </c>
      <c r="G74" s="395">
        <v>7388021</v>
      </c>
      <c r="H74" s="396">
        <v>2024</v>
      </c>
      <c r="I74" s="305"/>
      <c r="J74" s="391"/>
      <c r="K74" s="397"/>
      <c r="L74" s="305"/>
      <c r="M74" s="305"/>
    </row>
    <row r="75" spans="1:13">
      <c r="A75" s="305"/>
      <c r="B75" s="392"/>
      <c r="C75" s="393" t="s">
        <v>2297</v>
      </c>
      <c r="D75" s="1900" t="s">
        <v>1913</v>
      </c>
      <c r="E75" s="1900">
        <v>15</v>
      </c>
      <c r="F75" s="1900" t="s">
        <v>1914</v>
      </c>
      <c r="G75" s="395">
        <v>21725831</v>
      </c>
      <c r="H75" s="396">
        <v>2024</v>
      </c>
      <c r="I75" s="305"/>
      <c r="J75" s="391"/>
      <c r="K75" s="397"/>
      <c r="L75" s="305"/>
      <c r="M75" s="305"/>
    </row>
    <row r="76" spans="1:13">
      <c r="A76" s="305"/>
      <c r="B76" s="392"/>
      <c r="C76" s="393" t="s">
        <v>2298</v>
      </c>
      <c r="D76" s="1900" t="s">
        <v>1913</v>
      </c>
      <c r="E76" s="1900">
        <v>16</v>
      </c>
      <c r="F76" s="1900" t="s">
        <v>1914</v>
      </c>
      <c r="G76" s="395">
        <v>28295</v>
      </c>
      <c r="H76" s="396">
        <v>2024</v>
      </c>
      <c r="I76" s="305"/>
      <c r="J76" s="391"/>
      <c r="K76" s="397"/>
      <c r="L76" s="305"/>
      <c r="M76" s="305"/>
    </row>
    <row r="77" spans="1:13">
      <c r="A77" s="305"/>
      <c r="B77" s="392"/>
      <c r="C77" s="393" t="s">
        <v>2299</v>
      </c>
      <c r="D77" s="1900" t="s">
        <v>1913</v>
      </c>
      <c r="E77" s="1900">
        <v>17</v>
      </c>
      <c r="F77" s="1900" t="s">
        <v>1914</v>
      </c>
      <c r="G77" s="395">
        <v>119354</v>
      </c>
      <c r="H77" s="396">
        <v>2024</v>
      </c>
      <c r="I77" s="398"/>
      <c r="J77" s="391"/>
      <c r="K77" s="397"/>
      <c r="L77" s="305"/>
      <c r="M77" s="305"/>
    </row>
    <row r="78" spans="1:13">
      <c r="A78" s="305"/>
      <c r="B78" s="392"/>
      <c r="C78" s="393" t="s">
        <v>2300</v>
      </c>
      <c r="D78" s="1900" t="s">
        <v>1913</v>
      </c>
      <c r="E78" s="1900">
        <v>18</v>
      </c>
      <c r="F78" s="1900" t="s">
        <v>1914</v>
      </c>
      <c r="G78" s="395">
        <v>16000</v>
      </c>
      <c r="H78" s="396">
        <v>2024</v>
      </c>
      <c r="I78" s="305"/>
      <c r="J78" s="391"/>
      <c r="K78" s="305"/>
      <c r="L78" s="305"/>
      <c r="M78" s="305"/>
    </row>
    <row r="79" spans="1:13">
      <c r="A79" s="305"/>
      <c r="B79" s="392"/>
      <c r="C79" s="393" t="s">
        <v>2301</v>
      </c>
      <c r="D79" s="1900" t="s">
        <v>1913</v>
      </c>
      <c r="E79" s="1900">
        <v>19</v>
      </c>
      <c r="F79" s="1900" t="s">
        <v>1914</v>
      </c>
      <c r="G79" s="395">
        <v>9536</v>
      </c>
      <c r="H79" s="396">
        <v>2024</v>
      </c>
      <c r="I79" s="305"/>
      <c r="J79" s="391"/>
      <c r="K79" s="305"/>
      <c r="L79" s="305"/>
      <c r="M79" s="305"/>
    </row>
    <row r="80" spans="1:13">
      <c r="A80" s="305"/>
      <c r="B80" s="392"/>
      <c r="C80" s="393" t="s">
        <v>2302</v>
      </c>
      <c r="D80" s="1900" t="s">
        <v>1913</v>
      </c>
      <c r="E80" s="1900">
        <v>20</v>
      </c>
      <c r="F80" s="1900" t="s">
        <v>1914</v>
      </c>
      <c r="G80" s="395">
        <v>91000</v>
      </c>
      <c r="H80" s="396">
        <v>2024</v>
      </c>
      <c r="I80" s="305"/>
      <c r="J80" s="391"/>
      <c r="K80" s="305"/>
      <c r="L80" s="305"/>
      <c r="M80" s="305"/>
    </row>
    <row r="81" spans="1:13">
      <c r="A81" s="305"/>
      <c r="B81" s="392"/>
      <c r="C81" s="393" t="s">
        <v>2303</v>
      </c>
      <c r="D81" s="1900" t="s">
        <v>1913</v>
      </c>
      <c r="E81" s="1900">
        <v>21</v>
      </c>
      <c r="F81" s="1900" t="s">
        <v>1914</v>
      </c>
      <c r="G81" s="395">
        <v>145357</v>
      </c>
      <c r="H81" s="396">
        <v>2024</v>
      </c>
      <c r="I81" s="305"/>
      <c r="J81" s="391"/>
      <c r="K81" s="399"/>
      <c r="L81" s="305"/>
      <c r="M81" s="305"/>
    </row>
    <row r="82" spans="1:13">
      <c r="A82" s="305"/>
      <c r="B82" s="392"/>
      <c r="C82" s="393" t="s">
        <v>2304</v>
      </c>
      <c r="D82" s="1900" t="s">
        <v>1913</v>
      </c>
      <c r="E82" s="1900">
        <v>95</v>
      </c>
      <c r="F82" s="1900" t="s">
        <v>1914</v>
      </c>
      <c r="G82" s="395">
        <v>123018</v>
      </c>
      <c r="H82" s="396">
        <v>2024</v>
      </c>
      <c r="I82" s="305"/>
      <c r="J82" s="391"/>
      <c r="K82" s="305"/>
      <c r="L82" s="400"/>
      <c r="M82" s="305"/>
    </row>
    <row r="83" spans="1:13">
      <c r="A83" s="305"/>
      <c r="B83" s="392"/>
      <c r="C83" s="393" t="s">
        <v>2305</v>
      </c>
      <c r="D83" s="1900" t="s">
        <v>1913</v>
      </c>
      <c r="E83" s="1900">
        <v>77</v>
      </c>
      <c r="F83" s="1900" t="s">
        <v>1914</v>
      </c>
      <c r="G83" s="395">
        <v>1696361</v>
      </c>
      <c r="H83" s="396">
        <v>2024</v>
      </c>
      <c r="I83" s="305"/>
      <c r="J83" s="391"/>
      <c r="K83" s="305"/>
      <c r="L83" s="400"/>
      <c r="M83" s="305"/>
    </row>
    <row r="84" spans="1:13">
      <c r="A84" s="305"/>
      <c r="B84" s="392"/>
      <c r="C84" s="320"/>
      <c r="D84" s="305"/>
      <c r="E84" s="305"/>
      <c r="F84" s="305"/>
      <c r="G84" s="305"/>
      <c r="H84" s="305"/>
      <c r="I84" s="305"/>
      <c r="J84" s="391"/>
      <c r="K84" s="305"/>
      <c r="L84" s="400"/>
      <c r="M84" s="305"/>
    </row>
    <row r="85" spans="1:13">
      <c r="A85" s="330"/>
      <c r="B85" s="401"/>
      <c r="C85" s="333" t="s">
        <v>704</v>
      </c>
      <c r="D85" s="330"/>
      <c r="E85" s="330"/>
      <c r="F85" s="330"/>
      <c r="G85" s="330"/>
      <c r="H85" s="330"/>
      <c r="I85" s="402"/>
      <c r="J85" s="403"/>
      <c r="K85" s="330"/>
      <c r="L85" s="404"/>
      <c r="M85" s="330"/>
    </row>
    <row r="86" spans="1:13" ht="25.5">
      <c r="A86" s="330"/>
      <c r="B86" s="401">
        <v>1</v>
      </c>
      <c r="C86" s="405" t="s">
        <v>705</v>
      </c>
      <c r="D86" s="406" t="s">
        <v>706</v>
      </c>
      <c r="E86" s="407" t="s">
        <v>707</v>
      </c>
      <c r="F86" s="408" t="s">
        <v>707</v>
      </c>
      <c r="G86" s="409">
        <f>SUM(G87:G91)</f>
        <v>44055871</v>
      </c>
      <c r="H86" s="410"/>
      <c r="I86" s="411" t="s">
        <v>708</v>
      </c>
      <c r="J86" s="403"/>
      <c r="K86" s="330"/>
      <c r="L86" s="404"/>
      <c r="M86" s="330"/>
    </row>
    <row r="87" spans="1:13" ht="32.25" customHeight="1">
      <c r="A87" s="330"/>
      <c r="B87" s="401"/>
      <c r="C87" s="412" t="s">
        <v>709</v>
      </c>
      <c r="D87" s="394" t="s">
        <v>1913</v>
      </c>
      <c r="E87" s="413">
        <v>79</v>
      </c>
      <c r="F87" s="414" t="s">
        <v>1914</v>
      </c>
      <c r="G87" s="1877">
        <v>1465920</v>
      </c>
      <c r="H87" s="396">
        <v>2024</v>
      </c>
      <c r="I87" s="415" t="s">
        <v>710</v>
      </c>
      <c r="J87" s="403"/>
      <c r="K87" s="416"/>
      <c r="L87" s="404"/>
      <c r="M87" s="330"/>
    </row>
    <row r="88" spans="1:13" ht="32.25" customHeight="1">
      <c r="A88" s="330"/>
      <c r="B88" s="401"/>
      <c r="C88" s="417" t="s">
        <v>711</v>
      </c>
      <c r="D88" s="394" t="s">
        <v>1913</v>
      </c>
      <c r="E88" s="418">
        <v>80</v>
      </c>
      <c r="F88" s="419" t="s">
        <v>1914</v>
      </c>
      <c r="G88" s="1849">
        <v>40254157</v>
      </c>
      <c r="H88" s="396">
        <v>2024</v>
      </c>
      <c r="I88" s="420" t="s">
        <v>712</v>
      </c>
      <c r="J88" s="403"/>
      <c r="K88" s="330"/>
      <c r="L88" s="330"/>
      <c r="M88" s="330"/>
    </row>
    <row r="89" spans="1:13" ht="32.25" customHeight="1">
      <c r="A89" s="330"/>
      <c r="B89" s="401"/>
      <c r="C89" s="417" t="s">
        <v>713</v>
      </c>
      <c r="D89" s="394" t="s">
        <v>1913</v>
      </c>
      <c r="E89" s="418">
        <v>83</v>
      </c>
      <c r="F89" s="419" t="s">
        <v>1914</v>
      </c>
      <c r="G89" s="1849">
        <v>2327128</v>
      </c>
      <c r="H89" s="396">
        <v>2024</v>
      </c>
      <c r="I89" s="420" t="s">
        <v>714</v>
      </c>
      <c r="J89" s="403"/>
      <c r="K89" s="416"/>
      <c r="L89" s="330"/>
      <c r="M89" s="330"/>
    </row>
    <row r="90" spans="1:13" ht="18.600000000000001" customHeight="1">
      <c r="A90" s="330"/>
      <c r="B90" s="401"/>
      <c r="C90" s="417" t="s">
        <v>2048</v>
      </c>
      <c r="D90" s="394" t="s">
        <v>1913</v>
      </c>
      <c r="E90" s="418">
        <v>82</v>
      </c>
      <c r="F90" s="419" t="s">
        <v>1914</v>
      </c>
      <c r="G90" s="1849">
        <v>0</v>
      </c>
      <c r="H90" s="396">
        <v>2024</v>
      </c>
      <c r="I90" s="420" t="s">
        <v>2049</v>
      </c>
      <c r="J90" s="403"/>
      <c r="K90" s="416"/>
      <c r="L90" s="330"/>
      <c r="M90" s="330"/>
    </row>
    <row r="91" spans="1:13" ht="18.600000000000001" customHeight="1">
      <c r="A91" s="330"/>
      <c r="B91" s="401"/>
      <c r="C91" s="421" t="s">
        <v>1814</v>
      </c>
      <c r="D91" s="394" t="s">
        <v>1913</v>
      </c>
      <c r="E91" s="418">
        <v>81</v>
      </c>
      <c r="F91" s="1798" t="s">
        <v>1914</v>
      </c>
      <c r="G91" s="1850">
        <v>8666</v>
      </c>
      <c r="H91" s="396">
        <v>2024</v>
      </c>
      <c r="I91" s="420" t="s">
        <v>1815</v>
      </c>
      <c r="J91" s="403"/>
      <c r="K91" s="416"/>
      <c r="L91" s="330"/>
      <c r="M91" s="330"/>
    </row>
    <row r="92" spans="1:13" ht="25.5">
      <c r="A92" s="330"/>
      <c r="B92" s="401">
        <v>2</v>
      </c>
      <c r="C92" s="405" t="s">
        <v>715</v>
      </c>
      <c r="D92" s="1799" t="s">
        <v>1913</v>
      </c>
      <c r="E92" s="422">
        <v>88</v>
      </c>
      <c r="F92" s="408" t="s">
        <v>1914</v>
      </c>
      <c r="G92" s="1850">
        <v>323457</v>
      </c>
      <c r="H92" s="396">
        <v>2024</v>
      </c>
      <c r="I92" s="411" t="s">
        <v>716</v>
      </c>
      <c r="J92" s="403"/>
      <c r="K92" s="330"/>
      <c r="L92" s="404"/>
      <c r="M92" s="330"/>
    </row>
    <row r="93" spans="1:13" ht="25.5">
      <c r="A93" s="330"/>
      <c r="B93" s="401">
        <v>3</v>
      </c>
      <c r="C93" s="405" t="s">
        <v>717</v>
      </c>
      <c r="D93" s="1799" t="s">
        <v>1913</v>
      </c>
      <c r="E93" s="422">
        <v>89</v>
      </c>
      <c r="F93" s="408" t="s">
        <v>1914</v>
      </c>
      <c r="G93" s="1850">
        <v>230467</v>
      </c>
      <c r="H93" s="396">
        <v>2024</v>
      </c>
      <c r="I93" s="411" t="s">
        <v>716</v>
      </c>
      <c r="J93" s="403"/>
      <c r="K93" s="330"/>
      <c r="L93" s="404"/>
      <c r="M93" s="330"/>
    </row>
    <row r="94" spans="1:13">
      <c r="A94" s="330"/>
      <c r="B94" s="401">
        <v>4</v>
      </c>
      <c r="C94" s="405" t="s">
        <v>718</v>
      </c>
      <c r="D94" s="1799" t="s">
        <v>1913</v>
      </c>
      <c r="E94" s="422">
        <v>87</v>
      </c>
      <c r="F94" s="408" t="s">
        <v>1914</v>
      </c>
      <c r="G94" s="1850">
        <v>60795</v>
      </c>
      <c r="H94" s="396">
        <v>2024</v>
      </c>
      <c r="I94" s="411" t="s">
        <v>719</v>
      </c>
      <c r="J94" s="403"/>
      <c r="K94" s="330"/>
      <c r="L94" s="404"/>
      <c r="M94" s="330"/>
    </row>
    <row r="95" spans="1:13" ht="38.25">
      <c r="A95" s="330"/>
      <c r="B95" s="401">
        <v>5</v>
      </c>
      <c r="C95" s="405" t="s">
        <v>720</v>
      </c>
      <c r="D95" s="1799" t="s">
        <v>1913</v>
      </c>
      <c r="E95" s="422">
        <v>91</v>
      </c>
      <c r="F95" s="408" t="s">
        <v>1914</v>
      </c>
      <c r="G95" s="1850">
        <v>1421686</v>
      </c>
      <c r="H95" s="396">
        <v>2024</v>
      </c>
      <c r="I95" s="411" t="s">
        <v>721</v>
      </c>
      <c r="J95" s="403"/>
      <c r="K95" s="330"/>
      <c r="L95" s="404"/>
      <c r="M95" s="330"/>
    </row>
    <row r="96" spans="1:13" ht="25.5">
      <c r="A96" s="330"/>
      <c r="B96" s="401">
        <v>6</v>
      </c>
      <c r="C96" s="405" t="s">
        <v>722</v>
      </c>
      <c r="D96" s="1799" t="s">
        <v>1913</v>
      </c>
      <c r="E96" s="422">
        <v>94</v>
      </c>
      <c r="F96" s="408" t="s">
        <v>1914</v>
      </c>
      <c r="G96" s="1850">
        <v>4304390</v>
      </c>
      <c r="H96" s="396">
        <v>2024</v>
      </c>
      <c r="I96" s="411" t="s">
        <v>723</v>
      </c>
      <c r="J96" s="403"/>
      <c r="K96" s="330"/>
      <c r="L96" s="404"/>
      <c r="M96" s="330"/>
    </row>
    <row r="97" spans="1:13" ht="25.5">
      <c r="A97" s="330"/>
      <c r="B97" s="401">
        <v>7</v>
      </c>
      <c r="C97" s="405" t="s">
        <v>724</v>
      </c>
      <c r="D97" s="1799" t="s">
        <v>1913</v>
      </c>
      <c r="E97" s="422">
        <v>93</v>
      </c>
      <c r="F97" s="408" t="s">
        <v>1914</v>
      </c>
      <c r="G97" s="1850">
        <v>17123011</v>
      </c>
      <c r="H97" s="396">
        <v>2024</v>
      </c>
      <c r="I97" s="411" t="s">
        <v>725</v>
      </c>
      <c r="J97" s="403"/>
      <c r="K97" s="330"/>
      <c r="L97" s="330"/>
      <c r="M97" s="330"/>
    </row>
    <row r="98" spans="1:13" ht="25.5">
      <c r="A98" s="330"/>
      <c r="B98" s="401">
        <v>8</v>
      </c>
      <c r="C98" s="423" t="s">
        <v>1795</v>
      </c>
      <c r="D98" s="413" t="s">
        <v>706</v>
      </c>
      <c r="E98" s="424" t="s">
        <v>707</v>
      </c>
      <c r="F98" s="414" t="s">
        <v>707</v>
      </c>
      <c r="G98" s="1848">
        <f>SUM(G99:G101)</f>
        <v>28083</v>
      </c>
      <c r="H98" s="396">
        <v>2024</v>
      </c>
      <c r="I98" s="415" t="s">
        <v>726</v>
      </c>
      <c r="J98" s="403"/>
      <c r="K98" s="330"/>
      <c r="L98" s="330"/>
      <c r="M98" s="330"/>
    </row>
    <row r="99" spans="1:13">
      <c r="A99" s="305"/>
      <c r="B99" s="392"/>
      <c r="C99" s="425" t="s">
        <v>727</v>
      </c>
      <c r="D99" s="1800" t="s">
        <v>1913</v>
      </c>
      <c r="E99" s="426">
        <v>92</v>
      </c>
      <c r="F99" s="414" t="s">
        <v>1914</v>
      </c>
      <c r="G99" s="1877">
        <v>20017</v>
      </c>
      <c r="H99" s="396">
        <v>2024</v>
      </c>
      <c r="I99" s="427"/>
      <c r="J99" s="391"/>
      <c r="K99" s="320"/>
      <c r="L99" s="305"/>
      <c r="M99" s="305"/>
    </row>
    <row r="100" spans="1:13">
      <c r="A100" s="305"/>
      <c r="B100" s="392"/>
      <c r="C100" s="428" t="s">
        <v>728</v>
      </c>
      <c r="D100" s="1801" t="s">
        <v>1913</v>
      </c>
      <c r="E100" s="429">
        <v>90</v>
      </c>
      <c r="F100" s="419" t="s">
        <v>1914</v>
      </c>
      <c r="G100" s="1849">
        <v>8066</v>
      </c>
      <c r="H100" s="396">
        <v>2024</v>
      </c>
      <c r="I100" s="430"/>
      <c r="J100" s="391"/>
      <c r="K100" s="320"/>
      <c r="L100" s="305"/>
      <c r="M100" s="305"/>
    </row>
    <row r="101" spans="1:13">
      <c r="A101" s="305"/>
      <c r="B101" s="392"/>
      <c r="C101" s="432"/>
      <c r="D101" s="433"/>
      <c r="E101" s="433"/>
      <c r="F101" s="434"/>
      <c r="G101" s="1851">
        <v>0</v>
      </c>
      <c r="H101" s="1600"/>
      <c r="I101" s="431"/>
      <c r="J101" s="391"/>
      <c r="K101" s="320"/>
      <c r="L101" s="305"/>
      <c r="M101" s="305"/>
    </row>
    <row r="102" spans="1:13" ht="15.75" thickBot="1">
      <c r="A102" s="305"/>
      <c r="B102" s="435"/>
      <c r="C102" s="436"/>
      <c r="D102" s="436"/>
      <c r="E102" s="437"/>
      <c r="F102" s="436"/>
      <c r="G102" s="436"/>
      <c r="H102" s="436"/>
      <c r="I102" s="436"/>
      <c r="J102" s="438"/>
      <c r="K102" s="320"/>
      <c r="L102" s="305"/>
      <c r="M102" s="305"/>
    </row>
    <row r="103" spans="1:13">
      <c r="A103" s="305"/>
      <c r="B103" s="305"/>
      <c r="C103" s="305"/>
      <c r="D103" s="305"/>
      <c r="E103" s="324"/>
      <c r="F103" s="305"/>
      <c r="G103" s="305"/>
      <c r="H103" s="305"/>
      <c r="I103" s="305"/>
      <c r="J103" s="305"/>
      <c r="K103" s="320"/>
      <c r="L103" s="305"/>
      <c r="M103" s="305"/>
    </row>
    <row r="104" spans="1:13">
      <c r="A104" s="305"/>
      <c r="B104" s="305"/>
      <c r="C104" s="305"/>
      <c r="D104" s="305"/>
      <c r="E104" s="324"/>
      <c r="F104" s="305"/>
      <c r="G104" s="305"/>
      <c r="H104" s="305"/>
      <c r="I104" s="305"/>
      <c r="J104" s="305"/>
      <c r="K104" s="320"/>
      <c r="L104" s="305"/>
      <c r="M104" s="305"/>
    </row>
    <row r="105" spans="1:13">
      <c r="A105" s="305"/>
      <c r="B105" s="305"/>
      <c r="C105" s="305"/>
      <c r="D105" s="439"/>
      <c r="E105" s="305"/>
      <c r="F105" s="305"/>
      <c r="G105" s="305"/>
      <c r="H105" s="305"/>
      <c r="I105" s="305"/>
      <c r="J105" s="305"/>
      <c r="K105" s="320"/>
      <c r="L105" s="305"/>
      <c r="M105" s="305"/>
    </row>
    <row r="106" spans="1:13">
      <c r="A106" s="305"/>
      <c r="B106" s="305"/>
      <c r="C106" s="305"/>
      <c r="D106" s="439"/>
      <c r="E106" s="305"/>
      <c r="F106" s="305"/>
      <c r="G106" s="305"/>
      <c r="H106" s="305"/>
      <c r="I106" s="305"/>
      <c r="J106" s="305"/>
      <c r="K106" s="320"/>
      <c r="L106" s="305"/>
      <c r="M106" s="305"/>
    </row>
    <row r="107" spans="1:13">
      <c r="A107" s="305"/>
      <c r="B107" s="305"/>
      <c r="C107" s="305"/>
      <c r="D107" s="439"/>
      <c r="E107" s="305"/>
      <c r="F107" s="305"/>
      <c r="G107" s="305"/>
      <c r="H107" s="305"/>
      <c r="I107" s="305"/>
      <c r="J107" s="305"/>
      <c r="K107" s="320"/>
      <c r="L107" s="305"/>
      <c r="M107" s="305"/>
    </row>
    <row r="108" spans="1:13">
      <c r="A108" s="305"/>
      <c r="B108" s="305"/>
      <c r="C108" s="305"/>
      <c r="D108" s="439"/>
      <c r="E108" s="305"/>
      <c r="F108" s="305"/>
      <c r="G108" s="305"/>
      <c r="H108" s="305"/>
      <c r="I108" s="305"/>
      <c r="J108" s="305"/>
      <c r="K108" s="320"/>
      <c r="L108" s="305"/>
      <c r="M108" s="305"/>
    </row>
    <row r="109" spans="1:13">
      <c r="A109" s="305"/>
      <c r="B109" s="305"/>
      <c r="C109" s="305"/>
      <c r="D109" s="439"/>
      <c r="E109" s="305"/>
      <c r="F109" s="305"/>
      <c r="G109" s="305"/>
      <c r="H109" s="305"/>
      <c r="I109" s="305"/>
      <c r="J109" s="305"/>
      <c r="K109" s="320"/>
      <c r="L109" s="305"/>
      <c r="M109" s="305"/>
    </row>
    <row r="110" spans="1:13">
      <c r="A110" s="305"/>
      <c r="B110" s="305"/>
      <c r="C110" s="305"/>
      <c r="D110" s="439"/>
      <c r="E110" s="305"/>
      <c r="F110" s="305"/>
      <c r="G110" s="305"/>
      <c r="H110" s="305"/>
      <c r="I110" s="305"/>
      <c r="J110" s="305"/>
      <c r="K110" s="320"/>
      <c r="L110" s="305"/>
      <c r="M110" s="305"/>
    </row>
    <row r="111" spans="1:13">
      <c r="A111" s="305"/>
      <c r="B111" s="305"/>
      <c r="C111" s="305"/>
      <c r="D111" s="439"/>
      <c r="E111" s="305"/>
      <c r="F111" s="305"/>
      <c r="G111" s="305"/>
      <c r="H111" s="305"/>
      <c r="I111" s="305"/>
      <c r="J111" s="305"/>
      <c r="K111" s="320"/>
      <c r="L111" s="305"/>
      <c r="M111" s="305"/>
    </row>
    <row r="112" spans="1:13">
      <c r="A112" s="305"/>
      <c r="B112" s="305"/>
      <c r="C112" s="305"/>
      <c r="D112" s="439"/>
      <c r="E112" s="305"/>
      <c r="F112" s="305"/>
      <c r="G112" s="305"/>
      <c r="H112" s="305"/>
      <c r="I112" s="305"/>
      <c r="J112" s="305"/>
      <c r="K112" s="320"/>
      <c r="L112" s="305"/>
      <c r="M112" s="305"/>
    </row>
    <row r="113" spans="1:13">
      <c r="A113" s="305"/>
      <c r="B113" s="305"/>
      <c r="C113" s="305"/>
      <c r="D113" s="305"/>
      <c r="E113" s="439"/>
      <c r="F113" s="305"/>
      <c r="G113" s="305"/>
      <c r="H113" s="305"/>
      <c r="I113" s="305"/>
      <c r="J113" s="305"/>
      <c r="K113" s="320"/>
      <c r="L113" s="305"/>
      <c r="M113" s="305"/>
    </row>
    <row r="114" spans="1:13">
      <c r="A114" s="305"/>
      <c r="B114" s="305"/>
      <c r="C114" s="305"/>
      <c r="D114" s="305"/>
      <c r="E114" s="439"/>
      <c r="F114" s="305"/>
      <c r="G114" s="305"/>
      <c r="H114" s="305"/>
      <c r="I114" s="305"/>
      <c r="J114" s="305"/>
      <c r="K114" s="320"/>
      <c r="L114" s="305"/>
      <c r="M114" s="305"/>
    </row>
    <row r="115" spans="1:13">
      <c r="A115" s="305"/>
      <c r="B115" s="305"/>
      <c r="C115" s="305"/>
      <c r="D115" s="305"/>
      <c r="E115" s="440"/>
      <c r="F115" s="305"/>
      <c r="G115" s="305"/>
      <c r="H115" s="305"/>
      <c r="I115" s="305"/>
      <c r="J115" s="305"/>
      <c r="K115" s="320"/>
      <c r="L115" s="305"/>
      <c r="M115" s="305"/>
    </row>
  </sheetData>
  <pageMargins left="0.7" right="0.7" top="0.75" bottom="0.75" header="0.3" footer="0.3"/>
  <pageSetup scale="73"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55"/>
  <sheetViews>
    <sheetView topLeftCell="A9" workbookViewId="0">
      <selection activeCell="I32" sqref="I32"/>
    </sheetView>
  </sheetViews>
  <sheetFormatPr defaultRowHeight="15"/>
  <cols>
    <col min="1" max="1" width="8.28515625" customWidth="1"/>
    <col min="2" max="2" width="76.85546875" customWidth="1"/>
    <col min="3" max="3" width="18.85546875" bestFit="1" customWidth="1"/>
    <col min="4" max="4" width="18.85546875" customWidth="1"/>
    <col min="5" max="5" width="16.5703125" bestFit="1" customWidth="1"/>
    <col min="6" max="6" width="5.85546875" customWidth="1"/>
    <col min="7" max="7" width="13.7109375" bestFit="1" customWidth="1"/>
    <col min="9" max="9" width="22.28515625" bestFit="1" customWidth="1"/>
  </cols>
  <sheetData>
    <row r="1" spans="1:9" ht="15.75">
      <c r="A1" s="336" t="s">
        <v>2</v>
      </c>
      <c r="B1" s="336"/>
      <c r="C1" s="336"/>
      <c r="D1" s="336"/>
      <c r="E1" s="336"/>
      <c r="F1" s="305"/>
      <c r="G1" s="305"/>
      <c r="H1" s="305"/>
      <c r="I1" s="305"/>
    </row>
    <row r="2" spans="1:9" ht="15.75">
      <c r="A2" s="336" t="s">
        <v>729</v>
      </c>
      <c r="B2" s="441"/>
      <c r="C2" s="441"/>
      <c r="D2" s="441"/>
      <c r="E2" s="441"/>
      <c r="F2" s="305"/>
      <c r="G2" s="305"/>
      <c r="H2" s="305"/>
      <c r="I2" s="305"/>
    </row>
    <row r="3" spans="1:9" ht="15.75">
      <c r="A3" s="1943"/>
      <c r="B3" s="1943"/>
      <c r="C3" s="1943"/>
      <c r="D3" s="1943"/>
      <c r="E3" s="1943"/>
      <c r="F3" s="305"/>
      <c r="G3" s="305"/>
      <c r="H3" s="305"/>
      <c r="I3" s="305"/>
    </row>
    <row r="4" spans="1:9">
      <c r="A4" s="442" t="s">
        <v>283</v>
      </c>
      <c r="B4" s="443" t="s">
        <v>284</v>
      </c>
      <c r="C4" s="444" t="s">
        <v>6</v>
      </c>
      <c r="D4" s="444" t="s">
        <v>307</v>
      </c>
      <c r="E4" s="445" t="s">
        <v>730</v>
      </c>
      <c r="F4" s="305"/>
      <c r="G4" s="305"/>
      <c r="H4" s="305"/>
      <c r="I4" s="305"/>
    </row>
    <row r="5" spans="1:9">
      <c r="A5" s="343"/>
      <c r="B5" s="446"/>
      <c r="C5" s="343"/>
      <c r="D5" s="343"/>
      <c r="E5" s="447"/>
      <c r="F5" s="305"/>
      <c r="G5" s="305"/>
      <c r="H5" s="305"/>
      <c r="I5" s="305"/>
    </row>
    <row r="6" spans="1:9">
      <c r="A6" s="343"/>
      <c r="B6" s="332" t="s">
        <v>731</v>
      </c>
      <c r="C6" s="305"/>
      <c r="D6" s="305"/>
      <c r="E6" s="447"/>
      <c r="F6" s="305"/>
      <c r="G6" s="305"/>
      <c r="H6" s="305"/>
      <c r="I6" s="305"/>
    </row>
    <row r="7" spans="1:9">
      <c r="A7" s="448">
        <v>1</v>
      </c>
      <c r="B7" s="449" t="s">
        <v>732</v>
      </c>
      <c r="C7" s="450"/>
      <c r="D7" s="450"/>
      <c r="E7" s="451">
        <f>Inputs!$E$94</f>
        <v>843950.27</v>
      </c>
      <c r="F7" s="305"/>
      <c r="G7" s="328" t="s">
        <v>2189</v>
      </c>
      <c r="H7" s="305"/>
      <c r="I7" s="305"/>
    </row>
    <row r="8" spans="1:9">
      <c r="A8" s="452">
        <f>A7+1</f>
        <v>2</v>
      </c>
      <c r="B8" s="449" t="s">
        <v>733</v>
      </c>
      <c r="C8" s="450"/>
      <c r="D8" s="450"/>
      <c r="E8" s="453">
        <v>522544.98</v>
      </c>
      <c r="F8" s="305"/>
      <c r="G8" s="328" t="s">
        <v>2189</v>
      </c>
      <c r="H8" s="305"/>
      <c r="I8" s="305"/>
    </row>
    <row r="9" spans="1:9">
      <c r="A9" s="452">
        <f>A8+1</f>
        <v>3</v>
      </c>
      <c r="B9" s="449" t="s">
        <v>734</v>
      </c>
      <c r="C9" s="454"/>
      <c r="D9" s="455" t="s">
        <v>735</v>
      </c>
      <c r="E9" s="451">
        <f>E42</f>
        <v>555768</v>
      </c>
      <c r="F9" s="305"/>
      <c r="G9" s="305"/>
      <c r="H9" s="305"/>
      <c r="I9" s="305"/>
    </row>
    <row r="10" spans="1:9">
      <c r="A10" s="452">
        <f>A9+1</f>
        <v>4</v>
      </c>
      <c r="B10" s="449" t="s">
        <v>736</v>
      </c>
      <c r="C10" s="450"/>
      <c r="D10" s="450"/>
      <c r="E10" s="453">
        <v>2101855.5100000002</v>
      </c>
      <c r="F10" s="305"/>
      <c r="G10" s="328" t="s">
        <v>2189</v>
      </c>
      <c r="H10" s="305"/>
      <c r="I10" s="305"/>
    </row>
    <row r="11" spans="1:9">
      <c r="A11" s="452">
        <f>A10+1</f>
        <v>5</v>
      </c>
      <c r="B11" s="449" t="s">
        <v>737</v>
      </c>
      <c r="C11" s="454"/>
      <c r="D11" s="455" t="s">
        <v>735</v>
      </c>
      <c r="E11" s="451">
        <f>E36</f>
        <v>39703.844245270309</v>
      </c>
      <c r="F11" s="305"/>
      <c r="G11" s="328"/>
      <c r="H11" s="305"/>
      <c r="I11" s="305"/>
    </row>
    <row r="12" spans="1:9">
      <c r="A12" s="343">
        <f>A11+1</f>
        <v>6</v>
      </c>
      <c r="B12" s="456" t="s">
        <v>738</v>
      </c>
      <c r="C12" s="353"/>
      <c r="D12" s="331" t="str">
        <f>"(Sum Lines "&amp;A7&amp;"-"&amp;A11&amp;")"</f>
        <v>(Sum Lines 1-5)</v>
      </c>
      <c r="E12" s="457">
        <f>SUM(E7:E11)</f>
        <v>4063822.6042452706</v>
      </c>
      <c r="F12" s="305"/>
      <c r="G12" s="328" t="s">
        <v>739</v>
      </c>
      <c r="H12" s="305"/>
      <c r="I12" s="305"/>
    </row>
    <row r="13" spans="1:9">
      <c r="A13" s="343"/>
      <c r="B13" s="305"/>
      <c r="C13" s="343"/>
      <c r="D13" s="343"/>
      <c r="E13" s="458"/>
      <c r="F13" s="305"/>
      <c r="G13" s="1532"/>
      <c r="H13" s="305"/>
      <c r="I13" s="305"/>
    </row>
    <row r="14" spans="1:9">
      <c r="A14" s="343"/>
      <c r="B14" s="332" t="s">
        <v>740</v>
      </c>
      <c r="C14" s="343"/>
      <c r="D14" s="343"/>
      <c r="E14" s="447"/>
      <c r="F14" s="305"/>
      <c r="G14" s="1532"/>
      <c r="H14" s="305"/>
      <c r="I14" s="305"/>
    </row>
    <row r="15" spans="1:9">
      <c r="A15" s="452">
        <f>A12+1</f>
        <v>7</v>
      </c>
      <c r="B15" s="454" t="s">
        <v>741</v>
      </c>
      <c r="C15" s="459" t="str">
        <f>$A$49</f>
        <v>Note 3</v>
      </c>
      <c r="D15" s="460" t="s">
        <v>742</v>
      </c>
      <c r="E15" s="461">
        <f>'Att 13 - Revenue Credit Detail'!D40</f>
        <v>6340529.9249999998</v>
      </c>
      <c r="F15" s="305"/>
      <c r="G15" s="328" t="s">
        <v>2189</v>
      </c>
      <c r="H15" s="305"/>
      <c r="I15" s="305"/>
    </row>
    <row r="16" spans="1:9" ht="25.5">
      <c r="A16" s="452">
        <f>A15+1</f>
        <v>8</v>
      </c>
      <c r="B16" s="362" t="s">
        <v>743</v>
      </c>
      <c r="C16" s="459" t="str">
        <f>$A$49</f>
        <v>Note 3</v>
      </c>
      <c r="D16" s="450"/>
      <c r="E16" s="462">
        <v>0</v>
      </c>
      <c r="F16" s="305"/>
      <c r="G16" s="328" t="s">
        <v>2189</v>
      </c>
      <c r="H16" s="305"/>
      <c r="I16" s="305"/>
    </row>
    <row r="17" spans="1:9" ht="25.5">
      <c r="A17" s="452">
        <f>A16+1</f>
        <v>9</v>
      </c>
      <c r="B17" s="463" t="s">
        <v>744</v>
      </c>
      <c r="C17" s="460"/>
      <c r="D17" s="460" t="s">
        <v>742</v>
      </c>
      <c r="E17" s="461">
        <f>'Att 13 - Revenue Credit Detail'!D59</f>
        <v>183655645.00999999</v>
      </c>
      <c r="F17" s="305"/>
      <c r="G17" s="328" t="s">
        <v>2189</v>
      </c>
      <c r="H17" s="305"/>
      <c r="I17" s="305"/>
    </row>
    <row r="18" spans="1:9">
      <c r="A18" s="452">
        <f>A17+1</f>
        <v>10</v>
      </c>
      <c r="B18" s="454" t="s">
        <v>745</v>
      </c>
      <c r="C18" s="459" t="str">
        <f>$A$48</f>
        <v>Note 2</v>
      </c>
      <c r="D18" s="460"/>
      <c r="E18" s="464">
        <f>SUM(Inputs!E95,Inputs!E96,Inputs!E97)</f>
        <v>2532942.1594268293</v>
      </c>
      <c r="F18" s="305"/>
      <c r="G18" s="328" t="s">
        <v>746</v>
      </c>
      <c r="H18" s="305"/>
      <c r="I18" s="305"/>
    </row>
    <row r="19" spans="1:9">
      <c r="A19" s="452">
        <f>A18+1</f>
        <v>11</v>
      </c>
      <c r="B19" s="454" t="s">
        <v>747</v>
      </c>
      <c r="C19" s="450"/>
      <c r="D19" s="450" t="s">
        <v>748</v>
      </c>
      <c r="E19" s="462">
        <v>796948</v>
      </c>
      <c r="F19" s="305"/>
      <c r="G19" s="328" t="s">
        <v>2203</v>
      </c>
      <c r="H19" s="305"/>
      <c r="I19" s="305"/>
    </row>
    <row r="20" spans="1:9">
      <c r="A20" s="452">
        <f>A19+1</f>
        <v>12</v>
      </c>
      <c r="B20" s="465" t="s">
        <v>749</v>
      </c>
      <c r="C20" s="466"/>
      <c r="D20" s="466" t="str">
        <f>"(Sum Lines "&amp;A15&amp;"-"&amp;A19&amp;")"</f>
        <v>(Sum Lines 7-11)</v>
      </c>
      <c r="E20" s="467">
        <f>SUM(E15:E19)</f>
        <v>193326065.09442684</v>
      </c>
      <c r="F20" s="305"/>
      <c r="G20" s="328" t="s">
        <v>739</v>
      </c>
      <c r="H20" s="305"/>
      <c r="I20" s="321"/>
    </row>
    <row r="21" spans="1:9">
      <c r="A21" s="343"/>
      <c r="B21" s="305"/>
      <c r="C21" s="343"/>
      <c r="D21" s="343"/>
      <c r="E21" s="468"/>
      <c r="F21" s="305"/>
      <c r="G21" s="305"/>
      <c r="H21" s="305"/>
      <c r="I21" s="305"/>
    </row>
    <row r="22" spans="1:9" ht="15.75" thickBot="1">
      <c r="A22" s="452">
        <f>A20+1</f>
        <v>13</v>
      </c>
      <c r="B22" s="352" t="s">
        <v>750</v>
      </c>
      <c r="C22" s="353"/>
      <c r="D22" s="331" t="str">
        <f>"(Sum Lines "&amp;A12&amp;" &amp;"&amp;A20&amp;")"</f>
        <v>(Sum Lines 6 &amp;12)</v>
      </c>
      <c r="E22" s="469">
        <f>SUM(E12,E20)</f>
        <v>197389887.69867212</v>
      </c>
      <c r="F22" s="305"/>
      <c r="G22" s="328" t="s">
        <v>751</v>
      </c>
      <c r="H22" s="305"/>
      <c r="I22" s="305"/>
    </row>
    <row r="23" spans="1:9" ht="15.75" thickTop="1">
      <c r="A23" s="343"/>
      <c r="B23" s="305"/>
      <c r="C23" s="305"/>
      <c r="D23" s="305"/>
      <c r="E23" s="470"/>
      <c r="F23" s="305"/>
      <c r="G23" s="305"/>
      <c r="H23" s="305"/>
      <c r="I23" s="305"/>
    </row>
    <row r="24" spans="1:9" ht="15.75" thickBot="1">
      <c r="A24" s="471"/>
      <c r="B24" s="436"/>
      <c r="C24" s="436"/>
      <c r="D24" s="436"/>
      <c r="E24" s="472"/>
      <c r="F24" s="305"/>
      <c r="G24" s="305"/>
      <c r="H24" s="305"/>
      <c r="I24" s="305"/>
    </row>
    <row r="25" spans="1:9">
      <c r="A25" s="343"/>
      <c r="B25" s="305"/>
      <c r="C25" s="305"/>
      <c r="D25" s="305"/>
      <c r="E25" s="470"/>
      <c r="F25" s="305"/>
      <c r="G25" s="305"/>
      <c r="H25" s="305"/>
      <c r="I25" s="305"/>
    </row>
    <row r="26" spans="1:9">
      <c r="A26" s="343"/>
      <c r="B26" s="473" t="s">
        <v>752</v>
      </c>
      <c r="C26" s="305"/>
      <c r="D26" s="305"/>
      <c r="E26" s="305"/>
      <c r="F26" s="305"/>
      <c r="G26" s="305"/>
      <c r="H26" s="305"/>
      <c r="I26" s="305"/>
    </row>
    <row r="27" spans="1:9">
      <c r="A27" s="343"/>
      <c r="B27" s="473"/>
      <c r="C27" s="305"/>
      <c r="D27" s="305"/>
      <c r="E27" s="305"/>
      <c r="F27" s="305"/>
      <c r="G27" s="305"/>
      <c r="H27" s="305"/>
      <c r="I27" s="305"/>
    </row>
    <row r="28" spans="1:9">
      <c r="A28" s="343"/>
      <c r="B28" s="332" t="s">
        <v>737</v>
      </c>
      <c r="C28" s="305"/>
      <c r="D28" s="305"/>
      <c r="E28" s="305"/>
      <c r="F28" s="305"/>
      <c r="G28" s="305"/>
      <c r="H28" s="305"/>
      <c r="I28" s="305"/>
    </row>
    <row r="29" spans="1:9">
      <c r="A29" s="343"/>
      <c r="B29" s="474" t="s">
        <v>753</v>
      </c>
      <c r="C29" s="305"/>
      <c r="D29" s="305"/>
      <c r="E29" s="475">
        <v>119219.11</v>
      </c>
      <c r="F29" s="305"/>
      <c r="G29" s="328" t="s">
        <v>2189</v>
      </c>
      <c r="H29" s="305"/>
      <c r="I29" s="305"/>
    </row>
    <row r="30" spans="1:9">
      <c r="A30" s="343"/>
      <c r="B30" s="474" t="s">
        <v>754</v>
      </c>
      <c r="C30" s="305"/>
      <c r="D30" s="305"/>
      <c r="E30" s="475">
        <v>0</v>
      </c>
      <c r="F30" s="305"/>
      <c r="G30" s="328" t="s">
        <v>2189</v>
      </c>
      <c r="H30" s="305"/>
      <c r="I30" s="305"/>
    </row>
    <row r="31" spans="1:9">
      <c r="A31" s="343"/>
      <c r="B31" s="474" t="s">
        <v>755</v>
      </c>
      <c r="C31" s="305"/>
      <c r="D31" s="305"/>
      <c r="E31" s="475">
        <v>300083.73</v>
      </c>
      <c r="F31" s="305"/>
      <c r="G31" s="328" t="s">
        <v>2189</v>
      </c>
      <c r="H31" s="305"/>
      <c r="I31" s="305"/>
    </row>
    <row r="32" spans="1:9">
      <c r="A32" s="343"/>
      <c r="B32" s="474" t="s">
        <v>756</v>
      </c>
      <c r="C32" s="305"/>
      <c r="D32" s="305"/>
      <c r="E32" s="475">
        <v>0</v>
      </c>
      <c r="F32" s="305"/>
      <c r="G32" s="328" t="s">
        <v>2189</v>
      </c>
      <c r="H32" s="305"/>
      <c r="I32" s="305"/>
    </row>
    <row r="33" spans="1:9">
      <c r="A33" s="343"/>
      <c r="B33" s="474" t="s">
        <v>757</v>
      </c>
      <c r="C33" s="305"/>
      <c r="D33" s="305"/>
      <c r="E33" s="476">
        <v>0</v>
      </c>
      <c r="F33" s="305"/>
      <c r="G33" s="328" t="s">
        <v>2189</v>
      </c>
      <c r="H33" s="305"/>
      <c r="I33" s="305"/>
    </row>
    <row r="34" spans="1:9">
      <c r="A34" s="343"/>
      <c r="B34" s="477" t="s">
        <v>758</v>
      </c>
      <c r="C34" s="305"/>
      <c r="D34" s="305"/>
      <c r="E34" s="321">
        <f>SUM(E29:E33)</f>
        <v>419302.83999999997</v>
      </c>
      <c r="F34" s="305"/>
      <c r="G34" s="305"/>
      <c r="H34" s="305"/>
      <c r="I34" s="305"/>
    </row>
    <row r="35" spans="1:9">
      <c r="A35" s="343"/>
      <c r="B35" s="305" t="s">
        <v>22</v>
      </c>
      <c r="C35" s="305"/>
      <c r="D35" s="305"/>
      <c r="E35" s="478">
        <f>Allocator.wages.salary</f>
        <v>9.4690139101538909E-2</v>
      </c>
      <c r="F35" s="305"/>
      <c r="G35" s="305"/>
      <c r="H35" s="305"/>
      <c r="I35" s="305"/>
    </row>
    <row r="36" spans="1:9">
      <c r="A36" s="343"/>
      <c r="B36" s="479" t="s">
        <v>759</v>
      </c>
      <c r="C36" s="305"/>
      <c r="D36" s="305"/>
      <c r="E36" s="323">
        <f>E34*E35</f>
        <v>39703.844245270309</v>
      </c>
      <c r="F36" s="305"/>
      <c r="G36" s="305"/>
      <c r="H36" s="305"/>
      <c r="I36" s="305"/>
    </row>
    <row r="37" spans="1:9">
      <c r="A37" s="343"/>
      <c r="B37" s="305"/>
      <c r="C37" s="305"/>
      <c r="D37" s="305"/>
      <c r="E37" s="374"/>
      <c r="F37" s="305"/>
      <c r="G37" s="305"/>
      <c r="H37" s="305"/>
      <c r="I37" s="305"/>
    </row>
    <row r="38" spans="1:9">
      <c r="A38" s="343"/>
      <c r="B38" s="305"/>
      <c r="C38" s="305"/>
      <c r="D38" s="305"/>
      <c r="E38" s="305"/>
      <c r="F38" s="305"/>
      <c r="G38" s="305"/>
      <c r="H38" s="305"/>
      <c r="I38" s="305"/>
    </row>
    <row r="39" spans="1:9">
      <c r="A39" s="343"/>
      <c r="B39" s="332" t="s">
        <v>760</v>
      </c>
      <c r="C39" s="305"/>
      <c r="D39" s="305"/>
      <c r="E39" s="305"/>
      <c r="F39" s="305"/>
      <c r="G39" s="305"/>
      <c r="H39" s="305"/>
      <c r="I39" s="305"/>
    </row>
    <row r="40" spans="1:9">
      <c r="A40" s="343"/>
      <c r="B40" s="347" t="s">
        <v>761</v>
      </c>
      <c r="C40" s="305"/>
      <c r="D40" s="305"/>
      <c r="E40" s="271">
        <v>0</v>
      </c>
      <c r="F40" s="305"/>
      <c r="G40" s="328" t="s">
        <v>2189</v>
      </c>
      <c r="H40" s="305"/>
      <c r="I40" s="305"/>
    </row>
    <row r="41" spans="1:9">
      <c r="A41" s="343"/>
      <c r="B41" s="305" t="s">
        <v>762</v>
      </c>
      <c r="C41" s="305"/>
      <c r="D41" s="343" t="s">
        <v>763</v>
      </c>
      <c r="E41" s="480">
        <f>Inputs!E9</f>
        <v>555768</v>
      </c>
      <c r="F41" s="305"/>
      <c r="G41" s="328" t="s">
        <v>764</v>
      </c>
      <c r="H41" s="305"/>
      <c r="I41" s="305"/>
    </row>
    <row r="42" spans="1:9">
      <c r="A42" s="343"/>
      <c r="B42" s="479" t="s">
        <v>765</v>
      </c>
      <c r="C42" s="305"/>
      <c r="D42" s="305"/>
      <c r="E42" s="323">
        <f>SUM(E40:E41)</f>
        <v>555768</v>
      </c>
      <c r="F42" s="305"/>
      <c r="G42" s="328" t="s">
        <v>2189</v>
      </c>
      <c r="H42" s="305"/>
      <c r="I42" s="305"/>
    </row>
    <row r="43" spans="1:9">
      <c r="A43" s="343"/>
      <c r="B43" s="305"/>
      <c r="C43" s="305"/>
      <c r="D43" s="305"/>
      <c r="E43" s="374"/>
      <c r="F43" s="305"/>
      <c r="G43" s="328"/>
      <c r="H43" s="305"/>
      <c r="I43" s="305"/>
    </row>
    <row r="44" spans="1:9">
      <c r="A44" s="343"/>
      <c r="B44" s="305"/>
      <c r="C44" s="305"/>
      <c r="D44" s="305"/>
      <c r="E44" s="374"/>
      <c r="F44" s="305"/>
      <c r="G44" s="328"/>
      <c r="H44" s="305"/>
      <c r="I44" s="305"/>
    </row>
    <row r="45" spans="1:9">
      <c r="A45" s="444" t="s">
        <v>6</v>
      </c>
      <c r="B45" s="481"/>
      <c r="C45" s="482"/>
      <c r="D45" s="482"/>
      <c r="E45" s="483"/>
      <c r="F45" s="305"/>
      <c r="G45" s="305"/>
      <c r="H45" s="305"/>
      <c r="I45" s="305"/>
    </row>
    <row r="46" spans="1:9">
      <c r="A46" s="305"/>
      <c r="B46" s="305"/>
      <c r="C46" s="305"/>
      <c r="D46" s="305"/>
      <c r="E46" s="305"/>
      <c r="F46" s="305"/>
      <c r="G46" s="305"/>
      <c r="H46" s="305"/>
      <c r="I46" s="305"/>
    </row>
    <row r="47" spans="1:9" ht="63.75">
      <c r="A47" s="334" t="s">
        <v>766</v>
      </c>
      <c r="B47" s="484" t="str">
        <f>"All revenues related to transmission that are received as a transmission owner (i.e., not received as a LSE), for which the cost of the service is recovered under this formula,"&amp;" except as specifically provided for elsewhere in this Attachment or elsewhere in the formula, "&amp;"will be included as a revenue credit or included in the peak on line "&amp;'Appendix A'!A293&amp;" of Appendix A."</f>
        <v>All revenues related to transmission that are received as a transmission owner (i.e., not received as a LSE), for which the cost of the service is recovered under this formula, except as specifically provided for elsewhere in this Attachment or elsewhere in the formula, will be included as a revenue credit or included in the peak on line 170 of Appendix A.</v>
      </c>
      <c r="C47" s="305"/>
      <c r="D47" s="305"/>
      <c r="E47" s="470"/>
      <c r="F47" s="305"/>
      <c r="G47" s="305"/>
      <c r="H47" s="305"/>
      <c r="I47" s="305"/>
    </row>
    <row r="48" spans="1:9" ht="51">
      <c r="A48" s="334" t="s">
        <v>767</v>
      </c>
      <c r="B48" s="484" t="s">
        <v>768</v>
      </c>
      <c r="C48" s="485"/>
      <c r="D48" s="485"/>
      <c r="E48" s="486"/>
      <c r="F48" s="487"/>
      <c r="G48" s="305"/>
      <c r="H48" s="305"/>
      <c r="I48" s="305"/>
    </row>
    <row r="49" spans="1:9" ht="38.25">
      <c r="A49" s="334" t="s">
        <v>769</v>
      </c>
      <c r="B49" s="484" t="s">
        <v>770</v>
      </c>
      <c r="C49" s="488"/>
      <c r="D49" s="488"/>
      <c r="E49" s="486"/>
      <c r="F49" s="487"/>
      <c r="G49" s="305"/>
      <c r="H49" s="305"/>
      <c r="I49" s="305"/>
    </row>
    <row r="50" spans="1:9" ht="15.75" thickBot="1">
      <c r="A50" s="471"/>
      <c r="B50" s="436"/>
      <c r="C50" s="436"/>
      <c r="D50" s="436"/>
      <c r="E50" s="489"/>
      <c r="F50" s="305"/>
      <c r="G50" s="305"/>
      <c r="H50" s="305"/>
      <c r="I50" s="305"/>
    </row>
    <row r="51" spans="1:9">
      <c r="A51" s="343"/>
      <c r="B51" s="305"/>
      <c r="C51" s="305"/>
      <c r="D51" s="305"/>
      <c r="E51" s="447"/>
      <c r="F51" s="490"/>
      <c r="G51" s="305"/>
      <c r="H51" s="305"/>
      <c r="I51" s="305"/>
    </row>
    <row r="52" spans="1:9">
      <c r="A52" s="343"/>
      <c r="B52" s="305"/>
      <c r="C52" s="305"/>
      <c r="D52" s="305"/>
      <c r="E52" s="491"/>
      <c r="F52" s="343"/>
      <c r="G52" s="305"/>
      <c r="H52" s="305"/>
      <c r="I52" s="305"/>
    </row>
    <row r="53" spans="1:9">
      <c r="A53" s="343"/>
      <c r="B53" s="305"/>
      <c r="C53" s="305"/>
      <c r="D53" s="305"/>
      <c r="E53" s="374"/>
      <c r="F53" s="470"/>
      <c r="G53" s="305"/>
      <c r="H53" s="305"/>
      <c r="I53" s="305"/>
    </row>
    <row r="54" spans="1:9">
      <c r="A54" s="343"/>
      <c r="B54" s="452"/>
      <c r="C54" s="484"/>
      <c r="D54" s="484"/>
      <c r="E54" s="447"/>
      <c r="F54" s="305"/>
      <c r="G54" s="305"/>
      <c r="H54" s="305"/>
      <c r="I54" s="305"/>
    </row>
    <row r="55" spans="1:9">
      <c r="A55" s="343"/>
      <c r="B55" s="305"/>
      <c r="C55" s="305"/>
      <c r="D55" s="305"/>
      <c r="E55" s="447"/>
      <c r="F55" s="305"/>
      <c r="G55" s="305"/>
      <c r="H55" s="305"/>
      <c r="I55" s="305"/>
    </row>
  </sheetData>
  <mergeCells count="1">
    <mergeCell ref="A3:E3"/>
  </mergeCells>
  <pageMargins left="0.7" right="0.7" top="0.75" bottom="0.75" header="0.3" footer="0.3"/>
  <pageSetup scale="6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52"/>
  <sheetViews>
    <sheetView topLeftCell="A15" workbookViewId="0"/>
  </sheetViews>
  <sheetFormatPr defaultRowHeight="15"/>
  <cols>
    <col min="1" max="1" width="9.28515625" bestFit="1" customWidth="1"/>
    <col min="2" max="2" width="3" customWidth="1"/>
    <col min="3" max="3" width="8.140625" customWidth="1"/>
    <col min="4" max="4" width="49.42578125" customWidth="1"/>
    <col min="5" max="5" width="84.7109375" bestFit="1" customWidth="1"/>
    <col min="6" max="6" width="15.42578125" bestFit="1" customWidth="1"/>
    <col min="7" max="7" width="52" bestFit="1" customWidth="1"/>
    <col min="8" max="8" width="3.85546875" customWidth="1"/>
    <col min="9" max="9" width="19.42578125" bestFit="1" customWidth="1"/>
  </cols>
  <sheetData>
    <row r="1" spans="1:11" ht="18">
      <c r="A1" s="492" t="s">
        <v>2</v>
      </c>
      <c r="B1" s="1"/>
      <c r="C1" s="1"/>
      <c r="D1" s="1"/>
      <c r="E1" s="1"/>
      <c r="F1" s="1"/>
      <c r="G1" s="1"/>
      <c r="H1" s="493"/>
      <c r="I1" s="493"/>
    </row>
    <row r="2" spans="1:11" ht="18">
      <c r="A2" s="492" t="s">
        <v>771</v>
      </c>
      <c r="B2" s="1"/>
      <c r="C2" s="1"/>
      <c r="D2" s="1"/>
      <c r="E2" s="1"/>
      <c r="F2" s="1"/>
      <c r="G2" s="1"/>
      <c r="H2" s="493"/>
      <c r="I2" s="493"/>
    </row>
    <row r="3" spans="1:11">
      <c r="A3" s="100"/>
      <c r="B3" s="100"/>
      <c r="C3" s="100"/>
      <c r="D3" s="100"/>
      <c r="E3" s="100"/>
      <c r="F3" s="100"/>
      <c r="G3" s="100"/>
      <c r="H3" s="100"/>
      <c r="I3" s="100"/>
    </row>
    <row r="4" spans="1:11" ht="15.75">
      <c r="A4" s="2"/>
      <c r="B4" s="494"/>
      <c r="C4" s="2"/>
      <c r="D4" s="2"/>
      <c r="E4" s="2"/>
      <c r="F4" s="2"/>
      <c r="G4" s="2"/>
      <c r="H4" s="2"/>
      <c r="I4" s="2"/>
      <c r="J4" s="2"/>
      <c r="K4" s="2"/>
    </row>
    <row r="5" spans="1:11" ht="15.75">
      <c r="A5" s="2"/>
      <c r="B5" s="2"/>
      <c r="C5" s="2"/>
      <c r="D5" s="2"/>
      <c r="E5" s="2"/>
      <c r="F5" s="2"/>
      <c r="G5" s="2"/>
      <c r="H5" s="2"/>
      <c r="I5" s="2"/>
      <c r="J5" s="2"/>
      <c r="K5" s="2"/>
    </row>
    <row r="6" spans="1:11" ht="15.75">
      <c r="A6" s="2"/>
      <c r="B6" s="2"/>
      <c r="C6" s="2"/>
      <c r="D6" s="2"/>
      <c r="E6" s="2"/>
      <c r="F6" s="2"/>
      <c r="G6" s="2"/>
      <c r="H6" s="2"/>
      <c r="I6" s="2"/>
      <c r="J6" s="2"/>
      <c r="K6" s="2"/>
    </row>
    <row r="7" spans="1:11" ht="15.75">
      <c r="A7" s="2"/>
      <c r="B7" s="2"/>
      <c r="C7" s="2" t="s">
        <v>772</v>
      </c>
      <c r="D7" s="2"/>
      <c r="E7" s="2"/>
      <c r="F7" s="2"/>
      <c r="G7" s="2"/>
      <c r="H7" s="2"/>
      <c r="I7" s="2"/>
      <c r="J7" s="2"/>
      <c r="K7" s="2"/>
    </row>
    <row r="8" spans="1:11" ht="15.75">
      <c r="A8" s="39" t="s">
        <v>230</v>
      </c>
      <c r="B8" s="39"/>
      <c r="C8" s="2"/>
      <c r="D8" s="2" t="s">
        <v>773</v>
      </c>
      <c r="E8" s="2"/>
      <c r="F8" s="2"/>
      <c r="G8" s="38" t="str">
        <f>"Appendix A input: Line "&amp;A28&amp;" + Line "&amp;A50&amp;" from below"</f>
        <v>Appendix A input: Line 127 + Line 137 from below</v>
      </c>
      <c r="H8" s="2"/>
      <c r="I8" s="1533">
        <f>+I28+I50</f>
        <v>686989035.56539989</v>
      </c>
      <c r="J8" s="2"/>
      <c r="K8" s="2"/>
    </row>
    <row r="9" spans="1:11" ht="15.75">
      <c r="A9" s="39" t="s">
        <v>233</v>
      </c>
      <c r="B9" s="39"/>
      <c r="C9" s="2"/>
      <c r="D9" s="2" t="str">
        <f>I9*10000&amp;" Basis Point increase in ROE"</f>
        <v>100 Basis Point increase in ROE</v>
      </c>
      <c r="E9" s="2"/>
      <c r="F9" s="2"/>
      <c r="G9" s="2"/>
      <c r="H9" s="2"/>
      <c r="I9" s="495">
        <v>0.01</v>
      </c>
      <c r="J9" s="2"/>
      <c r="K9" s="2"/>
    </row>
    <row r="10" spans="1:11" ht="15.75">
      <c r="A10" s="39"/>
      <c r="B10" s="39"/>
      <c r="C10" s="2"/>
      <c r="D10" s="2"/>
      <c r="E10" s="2"/>
      <c r="F10" s="2"/>
      <c r="G10" s="2"/>
      <c r="H10" s="2"/>
      <c r="I10" s="2"/>
      <c r="J10" s="2"/>
      <c r="K10" s="2"/>
    </row>
    <row r="11" spans="1:11" ht="15.75">
      <c r="A11" s="496" t="s">
        <v>774</v>
      </c>
      <c r="B11" s="29"/>
      <c r="C11" s="29"/>
      <c r="D11" s="29"/>
      <c r="E11" s="29"/>
      <c r="F11" s="29"/>
      <c r="G11" s="29"/>
      <c r="H11" s="29"/>
      <c r="I11" s="2"/>
      <c r="J11" s="2"/>
      <c r="K11" s="2"/>
    </row>
    <row r="12" spans="1:11" ht="15.75">
      <c r="A12" s="70"/>
      <c r="B12" s="2"/>
      <c r="C12" s="2"/>
      <c r="D12" s="2"/>
      <c r="E12" s="2"/>
      <c r="F12" s="2" t="s">
        <v>6</v>
      </c>
      <c r="G12" s="17" t="s">
        <v>775</v>
      </c>
      <c r="H12" s="2"/>
      <c r="I12" s="2"/>
      <c r="J12" s="2"/>
      <c r="K12" s="2"/>
    </row>
    <row r="13" spans="1:11" ht="15.75">
      <c r="A13" s="2"/>
      <c r="B13" s="2"/>
      <c r="C13" s="2"/>
      <c r="D13" s="2"/>
      <c r="E13" s="2"/>
      <c r="F13" s="2"/>
      <c r="G13" s="2"/>
      <c r="H13" s="2"/>
      <c r="I13" s="497"/>
      <c r="J13" s="2"/>
      <c r="K13" s="2"/>
    </row>
    <row r="14" spans="1:11" ht="15.75">
      <c r="A14" s="39"/>
      <c r="B14" s="34"/>
      <c r="C14" s="34"/>
      <c r="D14" s="34"/>
      <c r="E14" s="2"/>
      <c r="F14" s="2"/>
      <c r="G14" s="34"/>
      <c r="H14" s="38"/>
      <c r="I14" s="498"/>
      <c r="J14" s="2"/>
      <c r="K14" s="2"/>
    </row>
    <row r="15" spans="1:11" ht="15.75">
      <c r="A15" s="92">
        <f>+'Appendix A'!A207</f>
        <v>117</v>
      </c>
      <c r="B15" s="34"/>
      <c r="C15" s="2"/>
      <c r="D15" s="239" t="str">
        <f>+'Appendix A'!C207</f>
        <v>Debt percent</v>
      </c>
      <c r="E15" s="239" t="str">
        <f>+'Appendix A'!D207</f>
        <v>Total Long Term Debt</v>
      </c>
      <c r="F15" s="239" t="str">
        <f>IF(ISBLANK('Appendix A'!E207),"",'Appendix A'!E207)</f>
        <v>(Notes Q &amp; R)</v>
      </c>
      <c r="G15" s="239" t="str">
        <f>+'Appendix A'!F207</f>
        <v>(Line 90 / (Lines 90 + 110 +116))</v>
      </c>
      <c r="H15" s="2"/>
      <c r="I15" s="499">
        <f>+'Appendix A'!H207</f>
        <v>0.57518896126794206</v>
      </c>
      <c r="J15" s="2"/>
      <c r="K15" s="2"/>
    </row>
    <row r="16" spans="1:11" ht="15.75">
      <c r="A16" s="92">
        <f>+'Appendix A'!A208</f>
        <v>118</v>
      </c>
      <c r="B16" s="34"/>
      <c r="C16" s="2"/>
      <c r="D16" s="239" t="str">
        <f>+'Appendix A'!C208</f>
        <v>Preferred percent</v>
      </c>
      <c r="E16" s="239" t="str">
        <f>+'Appendix A'!D208</f>
        <v>Preferred Stock</v>
      </c>
      <c r="F16" s="239" t="str">
        <f>IF(ISBLANK('Appendix A'!E208),"",'Appendix A'!E208)</f>
        <v/>
      </c>
      <c r="G16" s="239" t="str">
        <f>+'Appendix A'!F208</f>
        <v>(Line 110 / (Lines 90 + 110 +116))</v>
      </c>
      <c r="H16" s="2"/>
      <c r="I16" s="499">
        <f>+'Appendix A'!H208</f>
        <v>1.0080203682741583E-4</v>
      </c>
      <c r="J16" s="2"/>
      <c r="K16" s="2"/>
    </row>
    <row r="17" spans="1:11" ht="15.75">
      <c r="A17" s="92">
        <f>+'Appendix A'!A209</f>
        <v>119</v>
      </c>
      <c r="B17" s="34"/>
      <c r="C17" s="2"/>
      <c r="D17" s="239" t="str">
        <f>+'Appendix A'!C209</f>
        <v>Common percent</v>
      </c>
      <c r="E17" s="239" t="str">
        <f>+'Appendix A'!D209</f>
        <v>Common Stock</v>
      </c>
      <c r="F17" s="239" t="str">
        <f>IF(ISBLANK('Appendix A'!E209),"",'Appendix A'!E209)</f>
        <v>(Notes Q &amp; R)</v>
      </c>
      <c r="G17" s="239" t="str">
        <f>+'Appendix A'!F209</f>
        <v>(Line 116 / (Lines 90 + 110 +116))</v>
      </c>
      <c r="H17" s="2"/>
      <c r="I17" s="499">
        <f>+'Appendix A'!H209</f>
        <v>0.4247102366952305</v>
      </c>
      <c r="J17" s="2"/>
      <c r="K17" s="2"/>
    </row>
    <row r="18" spans="1:11" ht="15.75">
      <c r="A18" s="92"/>
      <c r="B18" s="34"/>
      <c r="C18" s="34"/>
      <c r="D18" s="34"/>
      <c r="E18" s="34"/>
      <c r="F18" s="164"/>
      <c r="G18" s="164"/>
      <c r="H18" s="38"/>
      <c r="I18" s="499"/>
      <c r="J18" s="2"/>
      <c r="K18" s="2"/>
    </row>
    <row r="19" spans="1:11" ht="15.75">
      <c r="A19" s="92">
        <f>+'Appendix A'!A212</f>
        <v>120</v>
      </c>
      <c r="B19" s="34"/>
      <c r="C19" s="2"/>
      <c r="D19" s="239" t="str">
        <f>+'Appendix A'!C212</f>
        <v>Debt Cost</v>
      </c>
      <c r="E19" s="239" t="str">
        <f>+'Appendix A'!D212</f>
        <v>Long Term Debt Cost = 
Long Term Debt Cost / 
Net Proceeds Long Term Debt</v>
      </c>
      <c r="F19" s="239" t="str">
        <f>IF(ISBLANK('Appendix A'!E212),"",'Appendix A'!E212)</f>
        <v/>
      </c>
      <c r="G19" s="239" t="str">
        <f>+'Appendix A'!F212</f>
        <v>(Line 103 / Line 96)</v>
      </c>
      <c r="H19" s="2"/>
      <c r="I19" s="499">
        <f>+'Appendix A'!H212</f>
        <v>5.1934654244976772E-2</v>
      </c>
      <c r="J19" s="2"/>
      <c r="K19" s="2"/>
    </row>
    <row r="20" spans="1:11" ht="15.75">
      <c r="A20" s="92">
        <f>+'Appendix A'!A213</f>
        <v>121</v>
      </c>
      <c r="B20" s="34"/>
      <c r="C20" s="2"/>
      <c r="D20" s="239" t="str">
        <f>+'Appendix A'!C213</f>
        <v>Preferred Cost</v>
      </c>
      <c r="E20" s="239" t="str">
        <f>+'Appendix A'!D213</f>
        <v>Preferred Stock cost  =  Preferred Dividends / 
Total Preferred Stock</v>
      </c>
      <c r="F20" s="239" t="str">
        <f>IF(ISBLANK('Appendix A'!E213),"",'Appendix A'!E213)</f>
        <v/>
      </c>
      <c r="G20" s="239" t="str">
        <f>+'Appendix A'!F213</f>
        <v>(Line 111 / Line 110)</v>
      </c>
      <c r="H20" s="2"/>
      <c r="I20" s="499">
        <f>+'Appendix A'!H213</f>
        <v>6.7526676676676667E-2</v>
      </c>
      <c r="J20" s="2"/>
      <c r="K20" s="2"/>
    </row>
    <row r="21" spans="1:11" ht="15.75">
      <c r="A21" s="92">
        <f>+'Appendix A'!A214</f>
        <v>122</v>
      </c>
      <c r="B21" s="34"/>
      <c r="C21" s="2"/>
      <c r="D21" s="239" t="str">
        <f>+'Appendix A'!C214</f>
        <v>Common Cost</v>
      </c>
      <c r="E21" s="239" t="str">
        <f>+'Appendix A'!D214</f>
        <v>Common Stock</v>
      </c>
      <c r="F21" s="239" t="str">
        <f>IF(ISBLANK('Appendix A'!E214),"",'Appendix A'!E214)</f>
        <v>(Note H)</v>
      </c>
      <c r="G21" s="239" t="str">
        <f>+'Appendix A'!F214&amp;" plus 100 basis points"</f>
        <v>Fixed plus 100 basis points</v>
      </c>
      <c r="H21" s="2"/>
      <c r="I21" s="499">
        <f>'Appendix A'!H214+I9</f>
        <v>0.108</v>
      </c>
      <c r="J21" s="2"/>
      <c r="K21" s="2"/>
    </row>
    <row r="22" spans="1:11" ht="15.75">
      <c r="A22" s="92"/>
      <c r="B22" s="34"/>
      <c r="C22" s="34"/>
      <c r="D22" s="34"/>
      <c r="E22" s="34"/>
      <c r="F22" s="164"/>
      <c r="G22" s="164"/>
      <c r="H22" s="38"/>
      <c r="I22" s="191"/>
      <c r="J22" s="2"/>
      <c r="K22" s="2"/>
    </row>
    <row r="23" spans="1:11" ht="15.75">
      <c r="A23" s="92">
        <f>+'Appendix A'!A217</f>
        <v>123</v>
      </c>
      <c r="B23" s="34"/>
      <c r="C23" s="2"/>
      <c r="D23" s="239" t="str">
        <f>+'Appendix A'!C217</f>
        <v>Weighted Cost of Debt</v>
      </c>
      <c r="E23" s="239" t="str">
        <f>+'Appendix A'!D217</f>
        <v>Total Long Term Debt (WCLTD)</v>
      </c>
      <c r="F23" s="239" t="str">
        <f>IF(ISBLANK('Appendix A'!E217),"",'Appendix A'!E217)</f>
        <v/>
      </c>
      <c r="G23" s="239" t="str">
        <f>+'Appendix A'!F217</f>
        <v>(Line 117 * Line 120)</v>
      </c>
      <c r="H23" s="2"/>
      <c r="I23" s="499">
        <f>+I15*I19</f>
        <v>2.9872239828977906E-2</v>
      </c>
      <c r="J23" s="2"/>
      <c r="K23" s="2"/>
    </row>
    <row r="24" spans="1:11" ht="15.75">
      <c r="A24" s="92">
        <f>+'Appendix A'!A218</f>
        <v>124</v>
      </c>
      <c r="B24" s="34"/>
      <c r="C24" s="2"/>
      <c r="D24" s="239" t="str">
        <f>+'Appendix A'!C218</f>
        <v>Weighted Cost of Preferred</v>
      </c>
      <c r="E24" s="239" t="str">
        <f>+'Appendix A'!D218</f>
        <v>Preferred Stock</v>
      </c>
      <c r="F24" s="239" t="str">
        <f>IF(ISBLANK('Appendix A'!E218),"",'Appendix A'!E218)</f>
        <v/>
      </c>
      <c r="G24" s="239" t="str">
        <f>+'Appendix A'!F218</f>
        <v>(Line 118 * Line 121)</v>
      </c>
      <c r="H24" s="2"/>
      <c r="I24" s="499">
        <f>+I16*I20</f>
        <v>6.8068265491953633E-6</v>
      </c>
      <c r="J24" s="2"/>
      <c r="K24" s="2"/>
    </row>
    <row r="25" spans="1:11" ht="15.75">
      <c r="A25" s="92">
        <f>+'Appendix A'!A219</f>
        <v>125</v>
      </c>
      <c r="B25" s="34"/>
      <c r="C25" s="2"/>
      <c r="D25" s="239" t="str">
        <f>+'Appendix A'!C219</f>
        <v>Weighted Cost of Common</v>
      </c>
      <c r="E25" s="239" t="str">
        <f>+'Appendix A'!D219</f>
        <v>Common Stock</v>
      </c>
      <c r="F25" s="239" t="str">
        <f>IF(ISBLANK('Appendix A'!E219),"",'Appendix A'!E219)</f>
        <v/>
      </c>
      <c r="G25" s="239" t="str">
        <f>+'Appendix A'!F219</f>
        <v>(Line 119 * Line 122)</v>
      </c>
      <c r="H25" s="2"/>
      <c r="I25" s="499">
        <f>+I17*I21</f>
        <v>4.5868705563084894E-2</v>
      </c>
      <c r="J25" s="2"/>
      <c r="K25" s="2"/>
    </row>
    <row r="26" spans="1:11" ht="15.75">
      <c r="A26" s="39">
        <f>A25+1</f>
        <v>126</v>
      </c>
      <c r="B26" s="34"/>
      <c r="C26" s="97" t="str">
        <f>'Appendix A'!C220</f>
        <v>Rate of Return on Rate Base ( ROR )</v>
      </c>
      <c r="D26" s="34"/>
      <c r="E26" s="17"/>
      <c r="F26" s="239" t="str">
        <f>IF(ISBLANK('Appendix A'!E220),"",'Appendix A'!E220)</f>
        <v/>
      </c>
      <c r="G26" s="38" t="str">
        <f>"(Sum Lines "&amp;A23&amp;" to "&amp;A25&amp;")"</f>
        <v>(Sum Lines 123 to 125)</v>
      </c>
      <c r="H26" s="174"/>
      <c r="I26" s="1534">
        <f>SUM(I23:I25)</f>
        <v>7.5747752218611991E-2</v>
      </c>
      <c r="J26" s="2"/>
      <c r="K26" s="2"/>
    </row>
    <row r="27" spans="1:11" ht="15.75">
      <c r="A27" s="35"/>
      <c r="B27" s="34"/>
      <c r="C27" s="34"/>
      <c r="D27" s="34"/>
      <c r="E27" s="17"/>
      <c r="F27" s="17"/>
      <c r="G27" s="158"/>
      <c r="H27" s="174"/>
      <c r="I27" s="178"/>
      <c r="J27" s="2"/>
      <c r="K27" s="2"/>
    </row>
    <row r="28" spans="1:11" ht="16.5" thickBot="1">
      <c r="A28" s="39">
        <f>A26+1</f>
        <v>127</v>
      </c>
      <c r="B28" s="34"/>
      <c r="C28" s="53" t="str">
        <f>'Appendix A'!B222</f>
        <v>Investment Return = Rate Base * Rate of Return</v>
      </c>
      <c r="D28" s="53"/>
      <c r="E28" s="53"/>
      <c r="F28" s="54"/>
      <c r="G28" s="500" t="str">
        <f>+'Appendix A'!F222</f>
        <v>(Line 52 * Line 126)</v>
      </c>
      <c r="H28" s="181"/>
      <c r="I28" s="86">
        <f>+I26*'Appendix A'!H107</f>
        <v>581506102.27219629</v>
      </c>
      <c r="J28" s="2"/>
      <c r="K28" s="2"/>
    </row>
    <row r="29" spans="1:11" ht="16.5" thickTop="1">
      <c r="A29" s="39"/>
      <c r="B29" s="39"/>
      <c r="C29" s="39"/>
      <c r="D29" s="2"/>
      <c r="E29" s="2"/>
      <c r="F29" s="39"/>
      <c r="G29" s="38"/>
      <c r="H29" s="38"/>
      <c r="I29" s="183"/>
      <c r="J29" s="2"/>
      <c r="K29" s="2"/>
    </row>
    <row r="30" spans="1:11" ht="15.75">
      <c r="A30" s="27" t="s">
        <v>776</v>
      </c>
      <c r="B30" s="501"/>
      <c r="C30" s="28"/>
      <c r="D30" s="122"/>
      <c r="E30" s="29"/>
      <c r="F30" s="67"/>
      <c r="G30" s="29"/>
      <c r="H30" s="29"/>
      <c r="I30" s="36"/>
      <c r="J30" s="2"/>
      <c r="K30" s="2"/>
    </row>
    <row r="31" spans="1:11" ht="15.75">
      <c r="A31" s="34"/>
      <c r="B31" s="34"/>
      <c r="C31" s="39"/>
      <c r="D31" s="17"/>
      <c r="E31" s="2"/>
      <c r="F31" s="37"/>
      <c r="G31" s="2"/>
      <c r="H31" s="2"/>
      <c r="I31" s="60"/>
      <c r="J31" s="2"/>
      <c r="K31" s="2"/>
    </row>
    <row r="32" spans="1:11" ht="15.75">
      <c r="A32" s="39" t="s">
        <v>175</v>
      </c>
      <c r="B32" s="39"/>
      <c r="C32" s="184" t="s">
        <v>176</v>
      </c>
      <c r="D32" s="2"/>
      <c r="E32" s="2"/>
      <c r="F32" s="37"/>
      <c r="G32" s="38"/>
      <c r="H32" s="185"/>
      <c r="I32" s="2"/>
      <c r="J32" s="2"/>
      <c r="K32" s="2"/>
    </row>
    <row r="33" spans="1:11" ht="15.75">
      <c r="A33" s="39">
        <f>+A28+1</f>
        <v>128</v>
      </c>
      <c r="B33" s="39"/>
      <c r="C33" s="39"/>
      <c r="D33" s="2" t="s">
        <v>177</v>
      </c>
      <c r="E33" s="2"/>
      <c r="F33" s="39"/>
      <c r="G33" s="502"/>
      <c r="H33" s="2"/>
      <c r="I33" s="159">
        <f>+'Appendix A'!H227</f>
        <v>0.21</v>
      </c>
      <c r="J33" s="2"/>
      <c r="K33" s="2"/>
    </row>
    <row r="34" spans="1:11" ht="15.75">
      <c r="A34" s="39">
        <f>+A33+1</f>
        <v>129</v>
      </c>
      <c r="B34" s="39"/>
      <c r="C34" s="39"/>
      <c r="D34" s="2" t="s">
        <v>178</v>
      </c>
      <c r="E34" s="188"/>
      <c r="F34" s="39"/>
      <c r="G34" s="502"/>
      <c r="H34" s="2"/>
      <c r="I34" s="159">
        <f>+'Appendix A'!H228</f>
        <v>4.5400000000000003E-2</v>
      </c>
      <c r="J34" s="2"/>
      <c r="K34" s="2"/>
    </row>
    <row r="35" spans="1:11" ht="15.75">
      <c r="A35" s="39">
        <f>+A34+1</f>
        <v>130</v>
      </c>
      <c r="B35" s="39"/>
      <c r="C35" s="39"/>
      <c r="D35" s="2" t="s">
        <v>777</v>
      </c>
      <c r="E35" s="2"/>
      <c r="F35" s="39"/>
      <c r="G35" s="38" t="str">
        <f>+'Appendix A'!F229</f>
        <v>Per state tax code</v>
      </c>
      <c r="H35" s="2"/>
      <c r="I35" s="159">
        <f>+'Appendix A'!H229</f>
        <v>0</v>
      </c>
      <c r="J35" s="2"/>
      <c r="K35" s="2"/>
    </row>
    <row r="36" spans="1:11" ht="15.75">
      <c r="A36" s="39">
        <f>+A35+1</f>
        <v>131</v>
      </c>
      <c r="B36" s="39"/>
      <c r="C36" s="39"/>
      <c r="D36" s="2" t="s">
        <v>182</v>
      </c>
      <c r="E36" s="190" t="s">
        <v>183</v>
      </c>
      <c r="F36" s="39"/>
      <c r="G36" s="2"/>
      <c r="H36" s="2"/>
      <c r="I36" s="159">
        <f>+'Appendix A'!H230</f>
        <v>0.24586599999999992</v>
      </c>
      <c r="J36" s="2"/>
      <c r="K36" s="2"/>
    </row>
    <row r="37" spans="1:11" ht="15.75">
      <c r="A37" s="39">
        <f>A36+1</f>
        <v>132</v>
      </c>
      <c r="B37" s="39"/>
      <c r="C37" s="39"/>
      <c r="D37" s="2" t="s">
        <v>778</v>
      </c>
      <c r="E37" s="100"/>
      <c r="F37" s="100"/>
      <c r="G37" s="100"/>
      <c r="H37" s="100"/>
      <c r="I37" s="159">
        <f>I36/(1-I36)</f>
        <v>0.32602428746084899</v>
      </c>
      <c r="J37" s="2"/>
      <c r="K37" s="2"/>
    </row>
    <row r="38" spans="1:11" ht="15.75">
      <c r="A38" s="39">
        <f>A37+1</f>
        <v>133</v>
      </c>
      <c r="B38" s="39"/>
      <c r="C38" s="39"/>
      <c r="D38" s="2" t="s">
        <v>779</v>
      </c>
      <c r="E38" s="188"/>
      <c r="F38" s="39"/>
      <c r="G38" s="2"/>
      <c r="H38" s="2"/>
      <c r="I38" s="159">
        <f>1/(1-I36)</f>
        <v>1.326024287460849</v>
      </c>
      <c r="J38" s="2"/>
      <c r="K38" s="2"/>
    </row>
    <row r="39" spans="1:11" ht="15.75">
      <c r="A39" s="39"/>
      <c r="B39" s="39"/>
      <c r="C39" s="39"/>
      <c r="D39" s="2"/>
      <c r="E39" s="2"/>
      <c r="F39" s="88"/>
      <c r="G39" s="190"/>
      <c r="H39" s="185"/>
      <c r="I39" s="191"/>
      <c r="J39" s="2"/>
      <c r="K39" s="2"/>
    </row>
    <row r="40" spans="1:11" ht="15.75">
      <c r="A40" s="39"/>
      <c r="B40" s="39"/>
      <c r="C40" s="184" t="s">
        <v>60</v>
      </c>
      <c r="D40" s="2"/>
      <c r="E40" s="2"/>
      <c r="F40" s="37"/>
      <c r="G40" s="38"/>
      <c r="H40" s="185"/>
      <c r="I40" s="166"/>
      <c r="J40" s="2"/>
      <c r="K40" s="2"/>
    </row>
    <row r="41" spans="1:11" ht="15.75">
      <c r="A41" s="39">
        <f>+A38+1</f>
        <v>134</v>
      </c>
      <c r="B41" s="39"/>
      <c r="C41" s="39"/>
      <c r="D41" s="71" t="s">
        <v>780</v>
      </c>
      <c r="E41" s="503"/>
      <c r="F41" s="504"/>
      <c r="G41" s="63" t="str">
        <f>+'Appendix A'!F234</f>
        <v>Attachment 5</v>
      </c>
      <c r="H41" s="505"/>
      <c r="I41" s="74">
        <f>+'Appendix A'!H234</f>
        <v>-177128.0938425815</v>
      </c>
      <c r="J41" s="2"/>
      <c r="K41" s="2"/>
    </row>
    <row r="42" spans="1:11" ht="15.75">
      <c r="A42" s="39"/>
      <c r="B42" s="39"/>
      <c r="C42" s="39"/>
      <c r="D42" s="2"/>
      <c r="E42" s="2"/>
      <c r="F42" s="39"/>
      <c r="G42" s="38"/>
      <c r="H42" s="185"/>
      <c r="I42" s="45"/>
      <c r="J42" s="2"/>
      <c r="K42" s="2"/>
    </row>
    <row r="43" spans="1:11" ht="15.75">
      <c r="A43" s="39"/>
      <c r="B43" s="39"/>
      <c r="C43" s="39"/>
      <c r="D43" s="73"/>
      <c r="E43" s="73"/>
      <c r="F43" s="80"/>
      <c r="G43" s="63"/>
      <c r="H43" s="102"/>
      <c r="I43" s="99"/>
      <c r="J43" s="2"/>
      <c r="K43" s="2"/>
    </row>
    <row r="44" spans="1:11" ht="15.75">
      <c r="A44" s="39">
        <f>+A41+1</f>
        <v>135</v>
      </c>
      <c r="B44" s="39"/>
      <c r="C44" s="39"/>
      <c r="D44" s="97" t="s">
        <v>186</v>
      </c>
      <c r="E44" s="2"/>
      <c r="F44" s="2"/>
      <c r="G44" s="38" t="str">
        <f>"(Line "&amp;A41&amp;" * (1 / (1 - Line "&amp;A36&amp;")"</f>
        <v>(Line 134 * (1 / (1 - Line 131)</v>
      </c>
      <c r="H44" s="506"/>
      <c r="I44" s="120">
        <f>I41*(1/(1-I36))</f>
        <v>-234876.15442690751</v>
      </c>
      <c r="J44" s="2"/>
      <c r="K44" s="2"/>
    </row>
    <row r="45" spans="1:11" ht="15.75">
      <c r="A45" s="39"/>
      <c r="B45" s="39"/>
      <c r="C45" s="39"/>
      <c r="D45" s="97"/>
      <c r="E45" s="2"/>
      <c r="F45" s="107"/>
      <c r="G45" s="507"/>
      <c r="H45" s="102"/>
      <c r="I45" s="1535"/>
      <c r="J45" s="2"/>
      <c r="K45" s="2"/>
    </row>
    <row r="46" spans="1:11" ht="15.75">
      <c r="A46" s="39"/>
      <c r="B46" s="39"/>
      <c r="C46" s="39"/>
      <c r="D46" s="97"/>
      <c r="E46" s="2"/>
      <c r="F46" s="107"/>
      <c r="G46" s="507"/>
      <c r="H46" s="102"/>
      <c r="I46" s="1536"/>
      <c r="J46" s="2"/>
      <c r="K46" s="2"/>
    </row>
    <row r="47" spans="1:11" ht="15.75">
      <c r="A47" s="39"/>
      <c r="B47" s="39"/>
      <c r="C47" s="39"/>
      <c r="D47" s="2"/>
      <c r="E47" s="2"/>
      <c r="F47" s="88"/>
      <c r="G47" s="190"/>
      <c r="H47" s="185"/>
      <c r="I47" s="508"/>
      <c r="J47" s="2"/>
      <c r="K47" s="2"/>
    </row>
    <row r="48" spans="1:11" ht="15.75">
      <c r="A48" s="39">
        <f>+A44+1</f>
        <v>136</v>
      </c>
      <c r="B48" s="39"/>
      <c r="C48" s="17" t="s">
        <v>188</v>
      </c>
      <c r="D48" s="2"/>
      <c r="E48" s="2" t="s">
        <v>781</v>
      </c>
      <c r="F48" s="37"/>
      <c r="G48" s="38"/>
      <c r="H48" s="2"/>
      <c r="I48" s="231">
        <f>+I37*(1-I23/I26)*I28</f>
        <v>114819435.94902155</v>
      </c>
      <c r="J48" s="2"/>
      <c r="K48" s="2"/>
    </row>
    <row r="49" spans="1:11" ht="15.75">
      <c r="A49" s="39" t="s">
        <v>1798</v>
      </c>
      <c r="B49" s="39"/>
      <c r="C49" s="17" t="s">
        <v>1771</v>
      </c>
      <c r="D49" s="34"/>
      <c r="E49" s="2" t="s">
        <v>1775</v>
      </c>
      <c r="F49" s="39"/>
      <c r="G49" s="38" t="s">
        <v>1799</v>
      </c>
      <c r="H49" s="102"/>
      <c r="I49" s="99">
        <f>'Appendix A'!H239</f>
        <v>-9101626.5013909992</v>
      </c>
      <c r="J49" s="2"/>
      <c r="K49" s="2"/>
    </row>
    <row r="50" spans="1:11" ht="16.5" thickBot="1">
      <c r="A50" s="39">
        <f>+A48+1</f>
        <v>137</v>
      </c>
      <c r="B50" s="39"/>
      <c r="C50" s="179" t="s">
        <v>190</v>
      </c>
      <c r="D50" s="179"/>
      <c r="E50" s="53"/>
      <c r="F50" s="85"/>
      <c r="G50" s="500"/>
      <c r="H50" s="195"/>
      <c r="I50" s="509">
        <f>+I48+I44+I49</f>
        <v>105482933.29320365</v>
      </c>
      <c r="J50" s="2"/>
      <c r="K50" s="2"/>
    </row>
    <row r="51" spans="1:11" ht="16.5" thickTop="1">
      <c r="A51" s="39"/>
      <c r="B51" s="39"/>
      <c r="C51" s="39"/>
      <c r="D51" s="190"/>
      <c r="E51" s="2"/>
      <c r="F51" s="39"/>
      <c r="G51" s="197"/>
      <c r="H51" s="198"/>
      <c r="I51" s="510"/>
      <c r="J51" s="2"/>
      <c r="K51" s="2"/>
    </row>
    <row r="52" spans="1:11" ht="15.75">
      <c r="A52" s="2"/>
      <c r="B52" s="2"/>
      <c r="C52" s="2"/>
      <c r="D52" s="2"/>
      <c r="E52" s="2"/>
      <c r="F52" s="2"/>
      <c r="G52" s="2"/>
      <c r="H52" s="2"/>
      <c r="I52" s="2"/>
      <c r="J52" s="2"/>
      <c r="K52" s="2"/>
    </row>
  </sheetData>
  <pageMargins left="0.7" right="0.7" top="0.75" bottom="0.75" header="0.3" footer="0.3"/>
  <pageSetup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439"/>
  <sheetViews>
    <sheetView topLeftCell="A261" zoomScaleNormal="100" workbookViewId="0">
      <selection activeCell="H286" sqref="H286"/>
    </sheetView>
  </sheetViews>
  <sheetFormatPr defaultRowHeight="15"/>
  <cols>
    <col min="1" max="2" width="5.85546875" customWidth="1"/>
    <col min="3" max="3" width="66.28515625" customWidth="1"/>
    <col min="4" max="4" width="36.85546875" customWidth="1"/>
    <col min="5" max="5" width="19.140625" customWidth="1"/>
    <col min="6" max="6" width="22" customWidth="1"/>
    <col min="7" max="7" width="24.42578125" customWidth="1"/>
    <col min="8" max="8" width="22" bestFit="1" customWidth="1"/>
    <col min="9" max="9" width="21" customWidth="1"/>
    <col min="10" max="10" width="27.140625" customWidth="1"/>
    <col min="11" max="11" width="44.140625" customWidth="1"/>
    <col min="12" max="12" width="25.42578125" customWidth="1"/>
    <col min="13" max="13" width="21" customWidth="1"/>
    <col min="14" max="14" width="10.5703125" bestFit="1" customWidth="1"/>
    <col min="15" max="15" width="19.85546875" customWidth="1"/>
    <col min="16" max="17" width="15" bestFit="1" customWidth="1"/>
  </cols>
  <sheetData>
    <row r="1" spans="1:17" ht="15.75">
      <c r="A1" s="492" t="s">
        <v>2</v>
      </c>
      <c r="B1" s="511"/>
      <c r="C1" s="511"/>
      <c r="D1" s="511"/>
      <c r="E1" s="511"/>
      <c r="F1" s="512"/>
      <c r="G1" s="511"/>
      <c r="H1" s="511"/>
      <c r="I1" s="511"/>
      <c r="J1" s="511"/>
      <c r="K1" s="511"/>
      <c r="L1" s="511"/>
      <c r="M1" s="511"/>
      <c r="N1" s="2"/>
      <c r="O1" s="2"/>
      <c r="P1" s="1497"/>
      <c r="Q1" s="2"/>
    </row>
    <row r="2" spans="1:17" ht="15.75">
      <c r="A2" s="492" t="s">
        <v>782</v>
      </c>
      <c r="B2" s="511"/>
      <c r="C2" s="511"/>
      <c r="D2" s="511"/>
      <c r="E2" s="511"/>
      <c r="F2" s="512"/>
      <c r="G2" s="511"/>
      <c r="H2" s="511"/>
      <c r="I2" s="511"/>
      <c r="J2" s="511"/>
      <c r="K2" s="511"/>
      <c r="L2" s="511"/>
      <c r="M2" s="511"/>
      <c r="N2" s="2"/>
      <c r="O2" s="2"/>
      <c r="P2" s="1497"/>
      <c r="Q2" s="2"/>
    </row>
    <row r="3" spans="1:17" ht="15.75">
      <c r="A3" s="513"/>
      <c r="B3" s="514"/>
      <c r="C3" s="514"/>
      <c r="D3" s="514"/>
      <c r="E3" s="514"/>
      <c r="F3" s="514"/>
      <c r="G3" s="514"/>
      <c r="H3" s="514"/>
      <c r="I3" s="514"/>
      <c r="J3" s="514"/>
      <c r="K3" s="514"/>
      <c r="L3" s="514"/>
      <c r="M3" s="515"/>
      <c r="N3" s="515"/>
      <c r="O3" s="515"/>
      <c r="P3" s="1498"/>
      <c r="Q3" s="515"/>
    </row>
    <row r="4" spans="1:17" ht="16.5" thickBot="1">
      <c r="A4" s="516" t="s">
        <v>783</v>
      </c>
      <c r="B4" s="514"/>
      <c r="C4" s="514"/>
      <c r="D4" s="514"/>
      <c r="E4" s="514"/>
      <c r="F4" s="514"/>
      <c r="G4" s="514"/>
      <c r="H4" s="514"/>
      <c r="I4" s="514"/>
      <c r="J4" s="514"/>
      <c r="K4" s="514"/>
      <c r="L4" s="514"/>
      <c r="M4" s="515"/>
      <c r="N4" s="515"/>
      <c r="O4" s="515"/>
      <c r="P4" s="517"/>
      <c r="Q4" s="515"/>
    </row>
    <row r="5" spans="1:17" ht="15.75">
      <c r="A5" s="1946" t="s">
        <v>784</v>
      </c>
      <c r="B5" s="1947"/>
      <c r="C5" s="1947"/>
      <c r="D5" s="1947"/>
      <c r="E5" s="1947"/>
      <c r="F5" s="1947"/>
      <c r="G5" s="1948"/>
      <c r="H5" s="518" t="s">
        <v>785</v>
      </c>
      <c r="I5" s="519"/>
      <c r="J5" s="519"/>
      <c r="K5" s="520"/>
      <c r="L5" s="520"/>
      <c r="M5" s="521"/>
      <c r="N5" s="515"/>
      <c r="O5" s="515"/>
      <c r="P5" s="517"/>
      <c r="Q5" s="522"/>
    </row>
    <row r="6" spans="1:17" ht="15.75">
      <c r="A6" s="523"/>
      <c r="B6" s="524"/>
      <c r="C6" s="525" t="s">
        <v>786</v>
      </c>
      <c r="D6" s="514" t="s">
        <v>787</v>
      </c>
      <c r="E6" s="524" t="s">
        <v>788</v>
      </c>
      <c r="F6" s="524" t="s">
        <v>789</v>
      </c>
      <c r="G6" s="526" t="s">
        <v>790</v>
      </c>
      <c r="H6" s="527"/>
      <c r="I6" s="514"/>
      <c r="J6" s="514"/>
      <c r="K6" s="515"/>
      <c r="L6" s="515"/>
      <c r="M6" s="528"/>
      <c r="N6" s="515"/>
      <c r="O6" s="517"/>
      <c r="P6" s="517"/>
      <c r="Q6" s="515"/>
    </row>
    <row r="7" spans="1:17" ht="15.75">
      <c r="A7" s="523"/>
      <c r="B7" s="529">
        <v>1</v>
      </c>
      <c r="C7" s="514" t="s">
        <v>791</v>
      </c>
      <c r="D7" s="1723" t="s">
        <v>1865</v>
      </c>
      <c r="E7" s="530"/>
      <c r="F7" s="531">
        <f>data_year-1</f>
        <v>2023</v>
      </c>
      <c r="G7" s="532">
        <v>8211445572.1400013</v>
      </c>
      <c r="H7" s="533" t="str">
        <f>IF((INDEX(Inputs_EndYrBal_prior,MATCH($D19,Inputs_FF1_Map,0))-G7)&lt;1,"-","Check values!")</f>
        <v>-</v>
      </c>
      <c r="I7" s="1912"/>
      <c r="J7" s="534"/>
      <c r="K7" s="515"/>
      <c r="L7" s="515"/>
      <c r="M7" s="528"/>
      <c r="N7" s="515"/>
      <c r="O7" s="517"/>
      <c r="P7" s="517"/>
      <c r="Q7" s="515"/>
    </row>
    <row r="8" spans="1:17" ht="15.75">
      <c r="A8" s="523"/>
      <c r="B8" s="524">
        <f t="shared" ref="B8:B20" si="0">+B7+1</f>
        <v>2</v>
      </c>
      <c r="C8" s="535" t="s">
        <v>792</v>
      </c>
      <c r="D8" s="514" t="s">
        <v>793</v>
      </c>
      <c r="E8" s="514"/>
      <c r="F8" s="531">
        <f>+F7+1</f>
        <v>2024</v>
      </c>
      <c r="G8" s="532">
        <v>8226004496.0099983</v>
      </c>
      <c r="H8" s="536"/>
      <c r="I8" s="1550"/>
      <c r="J8" s="534"/>
      <c r="K8" s="515"/>
      <c r="L8" s="524"/>
      <c r="M8" s="537"/>
      <c r="N8" s="515"/>
      <c r="O8" s="517"/>
      <c r="P8" s="517"/>
      <c r="Q8" s="538"/>
    </row>
    <row r="9" spans="1:17" ht="15.75">
      <c r="A9" s="523"/>
      <c r="B9" s="524">
        <f t="shared" si="0"/>
        <v>3</v>
      </c>
      <c r="C9" s="535" t="s">
        <v>794</v>
      </c>
      <c r="D9" s="514" t="s">
        <v>793</v>
      </c>
      <c r="E9" s="514"/>
      <c r="F9" s="531">
        <f t="shared" ref="F9:F19" si="1">+F8</f>
        <v>2024</v>
      </c>
      <c r="G9" s="532">
        <v>8245132761.3599987</v>
      </c>
      <c r="H9" s="539"/>
      <c r="I9" s="1550"/>
      <c r="J9" s="534"/>
      <c r="K9" s="515"/>
      <c r="L9" s="515"/>
      <c r="M9" s="537"/>
      <c r="N9" s="515"/>
      <c r="O9" s="517"/>
      <c r="P9" s="517"/>
      <c r="Q9" s="538"/>
    </row>
    <row r="10" spans="1:17" ht="15.75">
      <c r="A10" s="523"/>
      <c r="B10" s="524">
        <f t="shared" si="0"/>
        <v>4</v>
      </c>
      <c r="C10" s="535" t="s">
        <v>795</v>
      </c>
      <c r="D10" s="514" t="s">
        <v>793</v>
      </c>
      <c r="E10" s="514"/>
      <c r="F10" s="531">
        <f t="shared" si="1"/>
        <v>2024</v>
      </c>
      <c r="G10" s="532">
        <v>8273397644.9399967</v>
      </c>
      <c r="H10" s="539"/>
      <c r="I10" s="1550"/>
      <c r="J10" s="534"/>
      <c r="K10" s="540"/>
      <c r="L10" s="515"/>
      <c r="M10" s="537"/>
      <c r="N10" s="515"/>
      <c r="O10" s="517"/>
      <c r="P10" s="517"/>
      <c r="Q10" s="538"/>
    </row>
    <row r="11" spans="1:17" ht="15.75">
      <c r="A11" s="523"/>
      <c r="B11" s="524">
        <f t="shared" si="0"/>
        <v>5</v>
      </c>
      <c r="C11" s="535" t="s">
        <v>796</v>
      </c>
      <c r="D11" s="514" t="s">
        <v>793</v>
      </c>
      <c r="E11" s="514"/>
      <c r="F11" s="531">
        <f t="shared" si="1"/>
        <v>2024</v>
      </c>
      <c r="G11" s="532">
        <v>8288722659.3199968</v>
      </c>
      <c r="H11" s="539"/>
      <c r="I11" s="1550"/>
      <c r="J11" s="534"/>
      <c r="K11" s="540"/>
      <c r="L11" s="515"/>
      <c r="M11" s="537"/>
      <c r="N11" s="515"/>
      <c r="O11" s="517"/>
      <c r="P11" s="517"/>
      <c r="Q11" s="538"/>
    </row>
    <row r="12" spans="1:17" ht="15.75">
      <c r="A12" s="523"/>
      <c r="B12" s="524">
        <f t="shared" si="0"/>
        <v>6</v>
      </c>
      <c r="C12" s="535" t="s">
        <v>797</v>
      </c>
      <c r="D12" s="514" t="s">
        <v>793</v>
      </c>
      <c r="E12" s="514"/>
      <c r="F12" s="531">
        <f t="shared" si="1"/>
        <v>2024</v>
      </c>
      <c r="G12" s="532">
        <v>8292130805.8499994</v>
      </c>
      <c r="H12" s="523"/>
      <c r="I12" s="1550"/>
      <c r="J12" s="534"/>
      <c r="K12" s="514"/>
      <c r="L12" s="515"/>
      <c r="M12" s="541"/>
      <c r="N12" s="515"/>
      <c r="O12" s="517"/>
      <c r="P12" s="517"/>
      <c r="Q12" s="538"/>
    </row>
    <row r="13" spans="1:17" ht="15.75">
      <c r="A13" s="523"/>
      <c r="B13" s="524">
        <f t="shared" si="0"/>
        <v>7</v>
      </c>
      <c r="C13" s="535" t="s">
        <v>798</v>
      </c>
      <c r="D13" s="514" t="s">
        <v>793</v>
      </c>
      <c r="E13" s="514"/>
      <c r="F13" s="531">
        <f t="shared" si="1"/>
        <v>2024</v>
      </c>
      <c r="G13" s="532">
        <v>8317670517.3799982</v>
      </c>
      <c r="H13" s="539"/>
      <c r="I13" s="1550"/>
      <c r="J13" s="534"/>
      <c r="K13" s="540"/>
      <c r="L13" s="515"/>
      <c r="M13" s="537"/>
      <c r="N13" s="515"/>
      <c r="O13" s="517"/>
      <c r="P13" s="517"/>
      <c r="Q13" s="538"/>
    </row>
    <row r="14" spans="1:17" ht="15.75">
      <c r="A14" s="523"/>
      <c r="B14" s="524">
        <f t="shared" si="0"/>
        <v>8</v>
      </c>
      <c r="C14" s="535" t="s">
        <v>799</v>
      </c>
      <c r="D14" s="514" t="s">
        <v>793</v>
      </c>
      <c r="E14" s="514"/>
      <c r="F14" s="531">
        <f t="shared" si="1"/>
        <v>2024</v>
      </c>
      <c r="G14" s="532">
        <v>8390350288.9499998</v>
      </c>
      <c r="H14" s="536"/>
      <c r="I14" s="1550"/>
      <c r="J14" s="534"/>
      <c r="K14" s="540"/>
      <c r="L14" s="515"/>
      <c r="M14" s="537"/>
      <c r="N14" s="515"/>
      <c r="O14" s="517"/>
      <c r="P14" s="517"/>
      <c r="Q14" s="538"/>
    </row>
    <row r="15" spans="1:17" ht="15.75">
      <c r="A15" s="523"/>
      <c r="B15" s="524">
        <f t="shared" si="0"/>
        <v>9</v>
      </c>
      <c r="C15" s="535" t="s">
        <v>800</v>
      </c>
      <c r="D15" s="514" t="s">
        <v>793</v>
      </c>
      <c r="E15" s="514"/>
      <c r="F15" s="531">
        <f t="shared" si="1"/>
        <v>2024</v>
      </c>
      <c r="G15" s="532">
        <v>8456353137.9799986</v>
      </c>
      <c r="H15" s="539"/>
      <c r="I15" s="1550"/>
      <c r="J15" s="534"/>
      <c r="K15" s="540"/>
      <c r="L15" s="515"/>
      <c r="M15" s="537"/>
      <c r="N15" s="515"/>
      <c r="O15" s="517"/>
      <c r="P15" s="517"/>
      <c r="Q15" s="538"/>
    </row>
    <row r="16" spans="1:17" ht="15.75">
      <c r="A16" s="523"/>
      <c r="B16" s="524">
        <f t="shared" si="0"/>
        <v>10</v>
      </c>
      <c r="C16" s="535" t="s">
        <v>801</v>
      </c>
      <c r="D16" s="514" t="s">
        <v>793</v>
      </c>
      <c r="E16" s="514"/>
      <c r="F16" s="531">
        <f t="shared" si="1"/>
        <v>2024</v>
      </c>
      <c r="G16" s="532">
        <v>8461868190.0999985</v>
      </c>
      <c r="H16" s="539"/>
      <c r="I16" s="1550"/>
      <c r="J16" s="534"/>
      <c r="K16" s="540"/>
      <c r="L16" s="515"/>
      <c r="M16" s="537"/>
      <c r="N16" s="515"/>
      <c r="O16" s="517"/>
      <c r="P16" s="517"/>
      <c r="Q16" s="538"/>
    </row>
    <row r="17" spans="1:17" ht="15.75">
      <c r="A17" s="523"/>
      <c r="B17" s="524">
        <f t="shared" si="0"/>
        <v>11</v>
      </c>
      <c r="C17" s="535" t="s">
        <v>802</v>
      </c>
      <c r="D17" s="514" t="s">
        <v>793</v>
      </c>
      <c r="E17" s="514"/>
      <c r="F17" s="531">
        <f t="shared" si="1"/>
        <v>2024</v>
      </c>
      <c r="G17" s="532">
        <v>8649377143.6300011</v>
      </c>
      <c r="H17" s="539"/>
      <c r="I17" s="1550"/>
      <c r="J17" s="534"/>
      <c r="K17" s="540"/>
      <c r="L17" s="515"/>
      <c r="M17" s="537"/>
      <c r="N17" s="515"/>
      <c r="O17" s="517"/>
      <c r="P17" s="517"/>
      <c r="Q17" s="538"/>
    </row>
    <row r="18" spans="1:17" ht="15.75">
      <c r="A18" s="523"/>
      <c r="B18" s="524">
        <f t="shared" si="0"/>
        <v>12</v>
      </c>
      <c r="C18" s="535" t="s">
        <v>803</v>
      </c>
      <c r="D18" s="514" t="s">
        <v>793</v>
      </c>
      <c r="E18" s="514"/>
      <c r="F18" s="531">
        <f t="shared" si="1"/>
        <v>2024</v>
      </c>
      <c r="G18" s="532">
        <v>10718824363.179998</v>
      </c>
      <c r="H18" s="539"/>
      <c r="I18" s="1551"/>
      <c r="J18" s="534"/>
      <c r="K18" s="540"/>
      <c r="L18" s="515"/>
      <c r="M18" s="537"/>
      <c r="N18" s="515"/>
      <c r="O18" s="517"/>
      <c r="P18" s="517"/>
      <c r="Q18" s="538"/>
    </row>
    <row r="19" spans="1:17" ht="15.75">
      <c r="A19" s="523"/>
      <c r="B19" s="524">
        <f t="shared" si="0"/>
        <v>13</v>
      </c>
      <c r="C19" s="542" t="s">
        <v>791</v>
      </c>
      <c r="D19" s="1724" t="s">
        <v>1866</v>
      </c>
      <c r="E19" s="543"/>
      <c r="F19" s="544">
        <f t="shared" si="1"/>
        <v>2024</v>
      </c>
      <c r="G19" s="532">
        <v>10991371603.610001</v>
      </c>
      <c r="H19" s="533" t="str">
        <f>IF((INDEX(Inputs_EndYrBal,MATCH($D19,Inputs_FF1_Map,0))-G19)&lt;1,"-","Check values!")</f>
        <v>-</v>
      </c>
      <c r="I19" s="1551"/>
      <c r="J19" s="534"/>
      <c r="K19" s="546"/>
      <c r="L19" s="515"/>
      <c r="M19" s="537"/>
      <c r="N19" s="515"/>
      <c r="O19" s="517"/>
      <c r="P19" s="517"/>
      <c r="Q19" s="538"/>
    </row>
    <row r="20" spans="1:17" ht="15.75">
      <c r="A20" s="523">
        <f>'Appendix A'!$A$38</f>
        <v>15</v>
      </c>
      <c r="B20" s="524">
        <f t="shared" si="0"/>
        <v>14</v>
      </c>
      <c r="C20" s="547" t="s">
        <v>36</v>
      </c>
      <c r="D20" s="548" t="str">
        <f>IF(Toggle=Projection,"(line "&amp;B19&amp;")",IF(Toggle=True_up,"(sum lines "&amp;B7&amp;"-"&amp;B19&amp;") /13","Set Toggle!"))</f>
        <v>(line 13)</v>
      </c>
      <c r="E20" s="549" t="str">
        <f>'Appendix A'!$E$38</f>
        <v>(Note M)</v>
      </c>
      <c r="F20" s="550" t="str">
        <f>Toggle</f>
        <v>Projection</v>
      </c>
      <c r="G20" s="1469">
        <f>IF(Toggle=Projection,G19,IF(Toggle=True_up,AVERAGE(G7:G19),"Set Toggle!"))</f>
        <v>10991371603.610001</v>
      </c>
      <c r="H20" s="552" t="s">
        <v>804</v>
      </c>
      <c r="I20" s="1550"/>
      <c r="J20" s="534"/>
      <c r="K20" s="540"/>
      <c r="L20" s="553"/>
      <c r="M20" s="554"/>
      <c r="N20" s="515"/>
      <c r="O20" s="538"/>
      <c r="P20" s="538"/>
      <c r="Q20" s="555"/>
    </row>
    <row r="21" spans="1:17" ht="15.75">
      <c r="A21" s="523"/>
      <c r="B21" s="524"/>
      <c r="C21" s="535"/>
      <c r="D21" s="514"/>
      <c r="E21" s="514"/>
      <c r="F21" s="556"/>
      <c r="G21" s="557"/>
      <c r="H21" s="539"/>
      <c r="I21" s="1550"/>
      <c r="J21" s="534"/>
      <c r="K21" s="540"/>
      <c r="L21" s="558"/>
      <c r="M21" s="528"/>
      <c r="N21" s="515"/>
      <c r="O21" s="515"/>
      <c r="P21" s="517"/>
      <c r="Q21" s="515"/>
    </row>
    <row r="22" spans="1:17" ht="15.75">
      <c r="A22" s="523"/>
      <c r="B22" s="524"/>
      <c r="C22" s="525" t="s">
        <v>805</v>
      </c>
      <c r="D22" s="514" t="s">
        <v>787</v>
      </c>
      <c r="E22" s="514"/>
      <c r="F22" s="524" t="s">
        <v>789</v>
      </c>
      <c r="G22" s="559" t="s">
        <v>790</v>
      </c>
      <c r="H22" s="523"/>
      <c r="I22" s="1550"/>
      <c r="J22" s="534"/>
      <c r="K22" s="540"/>
      <c r="L22" s="558"/>
      <c r="M22" s="528"/>
      <c r="N22" s="515"/>
      <c r="O22" s="515"/>
      <c r="P22" s="517"/>
      <c r="Q22" s="515"/>
    </row>
    <row r="23" spans="1:17" ht="17.25">
      <c r="A23" s="523"/>
      <c r="B23" s="524">
        <f>+B20+1</f>
        <v>15</v>
      </c>
      <c r="C23" s="514" t="s">
        <v>791</v>
      </c>
      <c r="D23" s="1723" t="s">
        <v>1867</v>
      </c>
      <c r="E23" s="530"/>
      <c r="F23" s="531">
        <f>+F7</f>
        <v>2023</v>
      </c>
      <c r="G23" s="532">
        <v>9049257838.2199955</v>
      </c>
      <c r="H23" s="533" t="str">
        <f>IF((INDEX(Inputs_EndYrBal_prior,MATCH($D23,Inputs_FF1_Map,0))-G23)&lt;1,"-","Check values!")</f>
        <v>-</v>
      </c>
      <c r="I23" s="1550"/>
      <c r="J23" s="534"/>
      <c r="K23" s="540"/>
      <c r="L23" s="558"/>
      <c r="M23" s="528"/>
      <c r="N23" s="515"/>
      <c r="O23" s="560"/>
      <c r="P23" s="517"/>
      <c r="Q23" s="561"/>
    </row>
    <row r="24" spans="1:17" ht="15.75">
      <c r="A24" s="523"/>
      <c r="B24" s="524">
        <f t="shared" ref="B24:B36" si="2">+B23+1</f>
        <v>16</v>
      </c>
      <c r="C24" s="535" t="s">
        <v>792</v>
      </c>
      <c r="D24" s="514" t="s">
        <v>793</v>
      </c>
      <c r="E24" s="514"/>
      <c r="F24" s="531">
        <f>+F23+1</f>
        <v>2024</v>
      </c>
      <c r="G24" s="532">
        <v>9086339373.0999966</v>
      </c>
      <c r="H24" s="536"/>
      <c r="I24" s="1550"/>
      <c r="J24" s="534"/>
      <c r="K24" s="540"/>
      <c r="L24" s="558"/>
      <c r="M24" s="528"/>
      <c r="N24" s="515"/>
      <c r="O24" s="515"/>
      <c r="P24" s="562"/>
      <c r="Q24" s="517"/>
    </row>
    <row r="25" spans="1:17" ht="15.75">
      <c r="A25" s="523"/>
      <c r="B25" s="524">
        <f t="shared" si="2"/>
        <v>17</v>
      </c>
      <c r="C25" s="535" t="s">
        <v>794</v>
      </c>
      <c r="D25" s="514" t="s">
        <v>793</v>
      </c>
      <c r="E25" s="514"/>
      <c r="F25" s="531">
        <f t="shared" ref="F25:F35" si="3">+F24</f>
        <v>2024</v>
      </c>
      <c r="G25" s="532">
        <v>9129950341.4100018</v>
      </c>
      <c r="H25" s="539"/>
      <c r="I25" s="1550"/>
      <c r="J25" s="534"/>
      <c r="K25" s="540"/>
      <c r="L25" s="558"/>
      <c r="M25" s="528"/>
      <c r="N25" s="515"/>
      <c r="O25" s="515"/>
      <c r="P25" s="562"/>
      <c r="Q25" s="517"/>
    </row>
    <row r="26" spans="1:17" ht="15.75">
      <c r="A26" s="523"/>
      <c r="B26" s="524">
        <f t="shared" si="2"/>
        <v>18</v>
      </c>
      <c r="C26" s="535" t="s">
        <v>795</v>
      </c>
      <c r="D26" s="514" t="s">
        <v>793</v>
      </c>
      <c r="E26" s="514"/>
      <c r="F26" s="531">
        <f t="shared" si="3"/>
        <v>2024</v>
      </c>
      <c r="G26" s="532">
        <v>9193809885.1499958</v>
      </c>
      <c r="H26" s="539"/>
      <c r="I26" s="1550"/>
      <c r="J26" s="534"/>
      <c r="K26" s="540"/>
      <c r="L26" s="558"/>
      <c r="M26" s="528"/>
      <c r="N26" s="515"/>
      <c r="O26" s="515"/>
      <c r="P26" s="562"/>
      <c r="Q26" s="517"/>
    </row>
    <row r="27" spans="1:17" ht="15.75">
      <c r="A27" s="523"/>
      <c r="B27" s="524">
        <f t="shared" si="2"/>
        <v>19</v>
      </c>
      <c r="C27" s="535" t="s">
        <v>796</v>
      </c>
      <c r="D27" s="514" t="s">
        <v>793</v>
      </c>
      <c r="E27" s="514"/>
      <c r="F27" s="531">
        <f t="shared" si="3"/>
        <v>2024</v>
      </c>
      <c r="G27" s="532">
        <v>9228979937.7499962</v>
      </c>
      <c r="H27" s="539"/>
      <c r="I27" s="1550"/>
      <c r="J27" s="534"/>
      <c r="K27" s="540"/>
      <c r="L27" s="558"/>
      <c r="M27" s="528"/>
      <c r="N27" s="515"/>
      <c r="O27" s="515"/>
      <c r="P27" s="562"/>
      <c r="Q27" s="517"/>
    </row>
    <row r="28" spans="1:17" ht="15.75">
      <c r="A28" s="523"/>
      <c r="B28" s="524">
        <f t="shared" si="2"/>
        <v>20</v>
      </c>
      <c r="C28" s="535" t="s">
        <v>797</v>
      </c>
      <c r="D28" s="514" t="s">
        <v>793</v>
      </c>
      <c r="E28" s="514"/>
      <c r="F28" s="531">
        <f t="shared" si="3"/>
        <v>2024</v>
      </c>
      <c r="G28" s="532">
        <v>9278296876.2399998</v>
      </c>
      <c r="H28" s="523"/>
      <c r="I28" s="1550"/>
      <c r="J28" s="534"/>
      <c r="K28" s="514"/>
      <c r="L28" s="563"/>
      <c r="M28" s="564"/>
      <c r="N28" s="515"/>
      <c r="O28" s="515"/>
      <c r="P28" s="562"/>
      <c r="Q28" s="517"/>
    </row>
    <row r="29" spans="1:17" ht="15.75">
      <c r="A29" s="523"/>
      <c r="B29" s="524">
        <f t="shared" si="2"/>
        <v>21</v>
      </c>
      <c r="C29" s="535" t="s">
        <v>798</v>
      </c>
      <c r="D29" s="514" t="s">
        <v>793</v>
      </c>
      <c r="E29" s="514"/>
      <c r="F29" s="531">
        <f t="shared" si="3"/>
        <v>2024</v>
      </c>
      <c r="G29" s="532">
        <v>9350385983.1899986</v>
      </c>
      <c r="H29" s="539"/>
      <c r="I29" s="1550"/>
      <c r="J29" s="534"/>
      <c r="K29" s="540"/>
      <c r="L29" s="558"/>
      <c r="M29" s="528"/>
      <c r="N29" s="515"/>
      <c r="O29" s="515"/>
      <c r="P29" s="562"/>
      <c r="Q29" s="517"/>
    </row>
    <row r="30" spans="1:17" ht="15.75">
      <c r="A30" s="523"/>
      <c r="B30" s="524">
        <f t="shared" si="2"/>
        <v>22</v>
      </c>
      <c r="C30" s="535" t="s">
        <v>799</v>
      </c>
      <c r="D30" s="514" t="s">
        <v>793</v>
      </c>
      <c r="E30" s="514"/>
      <c r="F30" s="531">
        <f t="shared" si="3"/>
        <v>2024</v>
      </c>
      <c r="G30" s="532">
        <v>9407135180.4199963</v>
      </c>
      <c r="H30" s="536"/>
      <c r="I30" s="1550"/>
      <c r="J30" s="534"/>
      <c r="K30" s="540"/>
      <c r="L30" s="558"/>
      <c r="M30" s="528"/>
      <c r="N30" s="515"/>
      <c r="O30" s="515"/>
      <c r="P30" s="562"/>
      <c r="Q30" s="517"/>
    </row>
    <row r="31" spans="1:17" ht="15.75">
      <c r="A31" s="523"/>
      <c r="B31" s="524">
        <f t="shared" si="2"/>
        <v>23</v>
      </c>
      <c r="C31" s="535" t="s">
        <v>800</v>
      </c>
      <c r="D31" s="514" t="s">
        <v>793</v>
      </c>
      <c r="E31" s="514"/>
      <c r="F31" s="531">
        <f t="shared" si="3"/>
        <v>2024</v>
      </c>
      <c r="G31" s="532">
        <v>9458060022.2999935</v>
      </c>
      <c r="H31" s="539"/>
      <c r="I31" s="1550"/>
      <c r="J31" s="534"/>
      <c r="K31" s="540"/>
      <c r="L31" s="558"/>
      <c r="M31" s="528"/>
      <c r="N31" s="515"/>
      <c r="O31" s="515"/>
      <c r="P31" s="562"/>
      <c r="Q31" s="517"/>
    </row>
    <row r="32" spans="1:17" ht="15.75">
      <c r="A32" s="523"/>
      <c r="B32" s="524">
        <f t="shared" si="2"/>
        <v>24</v>
      </c>
      <c r="C32" s="535" t="s">
        <v>801</v>
      </c>
      <c r="D32" s="514" t="s">
        <v>793</v>
      </c>
      <c r="E32" s="514"/>
      <c r="F32" s="531">
        <f t="shared" si="3"/>
        <v>2024</v>
      </c>
      <c r="G32" s="532">
        <v>9547376423.4099941</v>
      </c>
      <c r="H32" s="539"/>
      <c r="I32" s="1550"/>
      <c r="J32" s="534"/>
      <c r="K32" s="540"/>
      <c r="L32" s="558"/>
      <c r="M32" s="528"/>
      <c r="N32" s="515"/>
      <c r="O32" s="515"/>
      <c r="P32" s="562"/>
      <c r="Q32" s="517"/>
    </row>
    <row r="33" spans="1:17" ht="15.75">
      <c r="A33" s="523"/>
      <c r="B33" s="524">
        <f t="shared" si="2"/>
        <v>25</v>
      </c>
      <c r="C33" s="535" t="s">
        <v>806</v>
      </c>
      <c r="D33" s="514" t="s">
        <v>793</v>
      </c>
      <c r="E33" s="514"/>
      <c r="F33" s="531">
        <f t="shared" si="3"/>
        <v>2024</v>
      </c>
      <c r="G33" s="532">
        <v>9632267639.4899979</v>
      </c>
      <c r="H33" s="539"/>
      <c r="I33" s="1550"/>
      <c r="J33" s="534"/>
      <c r="K33" s="540"/>
      <c r="L33" s="558"/>
      <c r="M33" s="528"/>
      <c r="N33" s="515"/>
      <c r="O33" s="515"/>
      <c r="P33" s="562"/>
      <c r="Q33" s="517"/>
    </row>
    <row r="34" spans="1:17" ht="15.75">
      <c r="A34" s="523"/>
      <c r="B34" s="524">
        <f t="shared" si="2"/>
        <v>26</v>
      </c>
      <c r="C34" s="535" t="s">
        <v>803</v>
      </c>
      <c r="D34" s="514" t="s">
        <v>793</v>
      </c>
      <c r="E34" s="514"/>
      <c r="F34" s="531">
        <f t="shared" si="3"/>
        <v>2024</v>
      </c>
      <c r="G34" s="532">
        <v>9680858167.4299946</v>
      </c>
      <c r="H34" s="539"/>
      <c r="I34" s="1550"/>
      <c r="J34" s="534"/>
      <c r="K34" s="540"/>
      <c r="L34" s="558"/>
      <c r="M34" s="528"/>
      <c r="N34" s="515"/>
      <c r="O34" s="515"/>
      <c r="P34" s="562"/>
      <c r="Q34" s="517"/>
    </row>
    <row r="35" spans="1:17" ht="15.75">
      <c r="A35" s="523"/>
      <c r="B35" s="524">
        <f t="shared" si="2"/>
        <v>27</v>
      </c>
      <c r="C35" s="542" t="s">
        <v>791</v>
      </c>
      <c r="D35" s="1724" t="s">
        <v>1868</v>
      </c>
      <c r="E35" s="543"/>
      <c r="F35" s="544">
        <f t="shared" si="3"/>
        <v>2024</v>
      </c>
      <c r="G35" s="532">
        <v>9832751087.4700012</v>
      </c>
      <c r="H35" s="533" t="str">
        <f>IF((INDEX(Inputs_EndYrBal,MATCH($D35,Inputs_FF1_Map,0))-G35)&lt;1,"-","Check values!")</f>
        <v>-</v>
      </c>
      <c r="I35" s="1550"/>
      <c r="J35" s="534"/>
      <c r="K35" s="546"/>
      <c r="L35" s="563"/>
      <c r="M35" s="564"/>
      <c r="N35" s="515"/>
      <c r="O35" s="515"/>
      <c r="P35" s="562"/>
      <c r="Q35" s="517"/>
    </row>
    <row r="36" spans="1:17" ht="15.75">
      <c r="A36" s="523"/>
      <c r="B36" s="524">
        <f t="shared" si="2"/>
        <v>28</v>
      </c>
      <c r="C36" s="547" t="s">
        <v>807</v>
      </c>
      <c r="D36" s="548" t="str">
        <f>IF(Toggle=Projection,"(line "&amp;B35&amp;")",IF(Toggle=True_up,"(sum lines "&amp;B23&amp;"-"&amp;B35&amp;") /13","Set Toggle!"))</f>
        <v>(line 27)</v>
      </c>
      <c r="E36" s="514"/>
      <c r="F36" s="550" t="str">
        <f>Toggle</f>
        <v>Projection</v>
      </c>
      <c r="G36" s="1468">
        <f>IF(Toggle=Projection,G35,IF(Toggle=True_up,AVERAGE(G23:G35),"Set Toggle!"))</f>
        <v>9832751087.4700012</v>
      </c>
      <c r="H36" s="552"/>
      <c r="I36" s="1550"/>
      <c r="J36" s="534"/>
      <c r="K36" s="540"/>
      <c r="L36" s="553"/>
      <c r="M36" s="554"/>
      <c r="N36" s="515"/>
      <c r="O36" s="515"/>
      <c r="P36" s="517"/>
      <c r="Q36" s="517"/>
    </row>
    <row r="37" spans="1:17" ht="15.75">
      <c r="A37" s="523"/>
      <c r="B37" s="524"/>
      <c r="C37" s="535"/>
      <c r="D37" s="514"/>
      <c r="E37" s="514"/>
      <c r="F37" s="556"/>
      <c r="G37" s="557"/>
      <c r="H37" s="539"/>
      <c r="I37" s="1550"/>
      <c r="J37" s="534"/>
      <c r="K37" s="540"/>
      <c r="L37" s="558"/>
      <c r="M37" s="528"/>
      <c r="N37" s="515"/>
      <c r="O37" s="515"/>
      <c r="P37" s="517"/>
      <c r="Q37" s="515"/>
    </row>
    <row r="38" spans="1:17" ht="15.75">
      <c r="A38" s="523"/>
      <c r="B38" s="524"/>
      <c r="C38" s="525" t="s">
        <v>808</v>
      </c>
      <c r="D38" s="514" t="s">
        <v>787</v>
      </c>
      <c r="E38" s="514"/>
      <c r="F38" s="524" t="s">
        <v>789</v>
      </c>
      <c r="G38" s="559" t="s">
        <v>790</v>
      </c>
      <c r="H38" s="523"/>
      <c r="I38" s="1550"/>
      <c r="J38" s="534"/>
      <c r="K38" s="540"/>
      <c r="L38" s="558"/>
      <c r="M38" s="528"/>
      <c r="N38" s="515"/>
      <c r="O38" s="515"/>
      <c r="P38" s="1498"/>
      <c r="Q38" s="515"/>
    </row>
    <row r="39" spans="1:17" ht="15.75">
      <c r="A39" s="523"/>
      <c r="B39" s="524">
        <f>+B36+1</f>
        <v>29</v>
      </c>
      <c r="C39" s="514" t="s">
        <v>791</v>
      </c>
      <c r="D39" s="1723" t="s">
        <v>809</v>
      </c>
      <c r="E39" s="530"/>
      <c r="F39" s="531">
        <f>+F23</f>
        <v>2023</v>
      </c>
      <c r="G39" s="532">
        <v>1133971846.3099999</v>
      </c>
      <c r="H39" s="533" t="str">
        <f>IF((INDEX(Inputs_EndYrBal,MATCH($D39,Inputs_FF1_Map,0))-G39)&lt;1,"-","Check values!")</f>
        <v>-</v>
      </c>
      <c r="I39" s="1550"/>
      <c r="J39" s="534"/>
      <c r="K39" s="540"/>
      <c r="L39" s="558"/>
      <c r="M39" s="528"/>
      <c r="N39" s="515"/>
      <c r="O39" s="515"/>
      <c r="P39" s="1498"/>
      <c r="Q39" s="515"/>
    </row>
    <row r="40" spans="1:17" ht="15.75">
      <c r="A40" s="523"/>
      <c r="B40" s="524">
        <f>+B39+1</f>
        <v>30</v>
      </c>
      <c r="C40" s="542" t="s">
        <v>791</v>
      </c>
      <c r="D40" s="1724" t="s">
        <v>810</v>
      </c>
      <c r="E40" s="543"/>
      <c r="F40" s="544">
        <f>+F39+1</f>
        <v>2024</v>
      </c>
      <c r="G40" s="532">
        <v>1179847914.6500001</v>
      </c>
      <c r="H40" s="533" t="str">
        <f>IF((INDEX(Inputs_EndYrBal,MATCH($D40,Inputs_FF1_Map,0))-G40)&lt;1,"-","Check values!")</f>
        <v>-</v>
      </c>
      <c r="I40" s="1550"/>
      <c r="J40" s="534"/>
      <c r="K40" s="514"/>
      <c r="L40" s="563"/>
      <c r="M40" s="528"/>
      <c r="N40" s="515"/>
      <c r="O40" s="515"/>
      <c r="P40" s="1498"/>
      <c r="Q40" s="515"/>
    </row>
    <row r="41" spans="1:17" ht="15.75">
      <c r="A41" s="523">
        <f>'Appendix A'!$A$43</f>
        <v>19</v>
      </c>
      <c r="B41" s="524">
        <f>+B40+1</f>
        <v>31</v>
      </c>
      <c r="C41" s="547" t="s">
        <v>811</v>
      </c>
      <c r="D41" s="548" t="str">
        <f>IF(Toggle=Projection,"(line "&amp;B40&amp;")",IF(Toggle=True_up,"(sum lines "&amp;B39&amp;" &amp; "&amp;B40&amp;") /2","Set Toggle!"))</f>
        <v>(line 30)</v>
      </c>
      <c r="E41" s="549" t="str">
        <f>'Appendix A'!$E$43</f>
        <v>(Note N)</v>
      </c>
      <c r="F41" s="550" t="str">
        <f>Toggle</f>
        <v>Projection</v>
      </c>
      <c r="G41" s="1469">
        <f>IF(Toggle=Projection,G40,IF(Toggle=True_up,AVERAGE(G39:G40),"Set Toggle!"))</f>
        <v>1179847914.6500001</v>
      </c>
      <c r="H41" s="552" t="s">
        <v>804</v>
      </c>
      <c r="I41" s="1550"/>
      <c r="J41" s="534"/>
      <c r="K41" s="540"/>
      <c r="L41" s="553"/>
      <c r="M41" s="554"/>
      <c r="N41" s="515"/>
      <c r="O41" s="515"/>
      <c r="P41" s="1498"/>
      <c r="Q41" s="515"/>
    </row>
    <row r="42" spans="1:17" ht="15.75">
      <c r="A42" s="523"/>
      <c r="B42" s="524"/>
      <c r="C42" s="535"/>
      <c r="D42" s="514"/>
      <c r="E42" s="514"/>
      <c r="F42" s="556"/>
      <c r="G42" s="557"/>
      <c r="H42" s="539"/>
      <c r="I42" s="1550"/>
      <c r="J42" s="534"/>
      <c r="K42" s="540"/>
      <c r="L42" s="553"/>
      <c r="M42" s="528"/>
      <c r="N42" s="515"/>
      <c r="O42" s="515"/>
      <c r="P42" s="1498"/>
      <c r="Q42" s="515"/>
    </row>
    <row r="43" spans="1:17" ht="15.75">
      <c r="A43" s="523"/>
      <c r="B43" s="524"/>
      <c r="C43" s="525" t="s">
        <v>812</v>
      </c>
      <c r="D43" s="514" t="s">
        <v>787</v>
      </c>
      <c r="E43" s="514"/>
      <c r="F43" s="524" t="s">
        <v>789</v>
      </c>
      <c r="G43" s="559" t="s">
        <v>790</v>
      </c>
      <c r="H43" s="523"/>
      <c r="I43" s="1550"/>
      <c r="J43" s="534"/>
      <c r="K43" s="540"/>
      <c r="L43" s="558"/>
      <c r="M43" s="528"/>
      <c r="N43" s="515"/>
      <c r="O43" s="515"/>
      <c r="P43" s="1498"/>
      <c r="Q43" s="515"/>
    </row>
    <row r="44" spans="1:17" ht="15.75">
      <c r="A44" s="523"/>
      <c r="B44" s="524">
        <f>+B41+1</f>
        <v>32</v>
      </c>
      <c r="C44" s="514" t="s">
        <v>791</v>
      </c>
      <c r="D44" s="1723" t="s">
        <v>1869</v>
      </c>
      <c r="E44" s="530"/>
      <c r="F44" s="531">
        <f>+F39</f>
        <v>2023</v>
      </c>
      <c r="G44" s="532">
        <v>1537122608.9300003</v>
      </c>
      <c r="H44" s="533" t="str">
        <f>IF((INDEX(Inputs_EndYrBal,MATCH($D44,Inputs_FF1_Map,0))-G44)&lt;1,"-","Check values!")</f>
        <v>-</v>
      </c>
      <c r="I44" s="1550"/>
      <c r="J44" s="534"/>
      <c r="K44" s="540"/>
      <c r="L44" s="558"/>
      <c r="M44" s="528"/>
      <c r="N44" s="515"/>
      <c r="O44" s="515"/>
      <c r="P44" s="1498"/>
      <c r="Q44" s="515"/>
    </row>
    <row r="45" spans="1:17" ht="15.75">
      <c r="A45" s="523"/>
      <c r="B45" s="524">
        <f>+B44+1</f>
        <v>33</v>
      </c>
      <c r="C45" s="542" t="s">
        <v>791</v>
      </c>
      <c r="D45" s="1724" t="s">
        <v>1870</v>
      </c>
      <c r="E45" s="543"/>
      <c r="F45" s="544">
        <f>+F44+1</f>
        <v>2024</v>
      </c>
      <c r="G45" s="532">
        <v>1620848652.74</v>
      </c>
      <c r="H45" s="533" t="str">
        <f>IF((INDEX(Inputs_EndYrBal,MATCH($D45,Inputs_FF1_Map,0))-G45)&lt;1,"-","Check values!")</f>
        <v>-</v>
      </c>
      <c r="I45" s="1550"/>
      <c r="J45" s="534"/>
      <c r="K45" s="546"/>
      <c r="L45" s="566"/>
      <c r="M45" s="528"/>
      <c r="N45" s="515"/>
      <c r="O45" s="515"/>
      <c r="P45" s="1498"/>
      <c r="Q45" s="515"/>
    </row>
    <row r="46" spans="1:17" ht="15.75">
      <c r="A46" s="523">
        <f>'Appendix A'!$A$42</f>
        <v>18</v>
      </c>
      <c r="B46" s="524">
        <f>+B45+1</f>
        <v>34</v>
      </c>
      <c r="C46" s="547" t="s">
        <v>813</v>
      </c>
      <c r="D46" s="548" t="str">
        <f>IF(Toggle=Projection,"(line "&amp;B45&amp;")",IF(Toggle=True_up,"(sum lines "&amp;B44&amp;" &amp; "&amp;B45&amp;") /2","Set Toggle!"))</f>
        <v>(line 33)</v>
      </c>
      <c r="E46" s="549" t="str">
        <f>'Appendix A'!$E$42</f>
        <v>(Note N)</v>
      </c>
      <c r="F46" s="550" t="str">
        <f>Toggle</f>
        <v>Projection</v>
      </c>
      <c r="G46" s="1469">
        <f>IF(Toggle=Projection,G45,IF(Toggle=True_up,AVERAGE(G44:G45),"Set Toggle!"))</f>
        <v>1620848652.74</v>
      </c>
      <c r="H46" s="552" t="s">
        <v>804</v>
      </c>
      <c r="I46" s="1550"/>
      <c r="J46" s="534"/>
      <c r="K46" s="540"/>
      <c r="L46" s="553"/>
      <c r="M46" s="554"/>
      <c r="N46" s="515"/>
      <c r="O46" s="515"/>
      <c r="P46" s="1498"/>
      <c r="Q46" s="515"/>
    </row>
    <row r="47" spans="1:17" ht="15.75">
      <c r="A47" s="523"/>
      <c r="B47" s="524"/>
      <c r="C47" s="535"/>
      <c r="D47" s="530"/>
      <c r="E47" s="530"/>
      <c r="F47" s="567"/>
      <c r="G47" s="557"/>
      <c r="H47" s="523"/>
      <c r="I47" s="1550"/>
      <c r="J47" s="534"/>
      <c r="K47" s="514"/>
      <c r="L47" s="563"/>
      <c r="M47" s="564"/>
      <c r="N47" s="515"/>
      <c r="O47" s="515"/>
      <c r="P47" s="1498"/>
      <c r="Q47" s="515"/>
    </row>
    <row r="48" spans="1:17" ht="15.75">
      <c r="A48" s="523"/>
      <c r="B48" s="524"/>
      <c r="C48" s="525" t="s">
        <v>814</v>
      </c>
      <c r="D48" s="514" t="s">
        <v>787</v>
      </c>
      <c r="E48" s="514"/>
      <c r="F48" s="524" t="s">
        <v>789</v>
      </c>
      <c r="G48" s="559" t="s">
        <v>790</v>
      </c>
      <c r="H48" s="523"/>
      <c r="I48" s="1550"/>
      <c r="J48" s="534"/>
      <c r="K48" s="540"/>
      <c r="L48" s="558"/>
      <c r="M48" s="528"/>
      <c r="N48" s="515"/>
      <c r="O48" s="515"/>
      <c r="P48" s="1498"/>
      <c r="Q48" s="515"/>
    </row>
    <row r="49" spans="1:17" ht="15.75">
      <c r="A49" s="523"/>
      <c r="B49" s="524">
        <f>+B46+1</f>
        <v>35</v>
      </c>
      <c r="C49" s="514" t="s">
        <v>791</v>
      </c>
      <c r="D49" s="1723" t="s">
        <v>815</v>
      </c>
      <c r="E49" s="530"/>
      <c r="F49" s="531">
        <f>+F44</f>
        <v>2023</v>
      </c>
      <c r="G49" s="532">
        <v>13656624982.209999</v>
      </c>
      <c r="H49" s="533" t="str">
        <f>IF((INDEX(Inputs_EndYrBal_prior,MATCH($D61,Inputs_FF1_Map,0))-G49)&lt;1,"-","Check values!")</f>
        <v>-</v>
      </c>
      <c r="I49" s="1550"/>
      <c r="J49" s="534"/>
      <c r="K49" s="540"/>
      <c r="L49" s="558"/>
      <c r="M49" s="528"/>
      <c r="N49" s="515"/>
      <c r="O49" s="515"/>
      <c r="P49" s="1498"/>
      <c r="Q49" s="515"/>
    </row>
    <row r="50" spans="1:17" ht="15.75">
      <c r="A50" s="523"/>
      <c r="B50" s="524">
        <f t="shared" ref="B50:B62" si="4">+B49+1</f>
        <v>36</v>
      </c>
      <c r="C50" s="535" t="s">
        <v>792</v>
      </c>
      <c r="D50" s="514" t="s">
        <v>793</v>
      </c>
      <c r="E50" s="514"/>
      <c r="F50" s="531">
        <f>+F49+1</f>
        <v>2024</v>
      </c>
      <c r="G50" s="532">
        <v>13665385544.559998</v>
      </c>
      <c r="H50" s="523"/>
      <c r="I50" s="1550"/>
      <c r="J50" s="534"/>
      <c r="K50" s="540"/>
      <c r="L50" s="558"/>
      <c r="M50" s="528"/>
      <c r="N50" s="515"/>
      <c r="O50" s="515"/>
      <c r="P50" s="1498"/>
      <c r="Q50" s="515"/>
    </row>
    <row r="51" spans="1:17" ht="15.75">
      <c r="A51" s="523"/>
      <c r="B51" s="524">
        <f t="shared" si="4"/>
        <v>37</v>
      </c>
      <c r="C51" s="535" t="s">
        <v>794</v>
      </c>
      <c r="D51" s="514" t="s">
        <v>793</v>
      </c>
      <c r="E51" s="514"/>
      <c r="F51" s="531">
        <f t="shared" ref="F51:F61" si="5">+F50</f>
        <v>2024</v>
      </c>
      <c r="G51" s="532">
        <v>13682742132.379999</v>
      </c>
      <c r="H51" s="523"/>
      <c r="I51" s="1550"/>
      <c r="J51" s="534"/>
      <c r="K51" s="540"/>
      <c r="L51" s="558"/>
      <c r="M51" s="528"/>
      <c r="N51" s="515"/>
      <c r="O51" s="515"/>
      <c r="P51" s="1498"/>
      <c r="Q51" s="515"/>
    </row>
    <row r="52" spans="1:17" ht="15.75">
      <c r="A52" s="523"/>
      <c r="B52" s="524">
        <f t="shared" si="4"/>
        <v>38</v>
      </c>
      <c r="C52" s="535" t="s">
        <v>795</v>
      </c>
      <c r="D52" s="514" t="s">
        <v>793</v>
      </c>
      <c r="E52" s="514"/>
      <c r="F52" s="531">
        <f t="shared" si="5"/>
        <v>2024</v>
      </c>
      <c r="G52" s="532">
        <v>13718581031.129999</v>
      </c>
      <c r="H52" s="523"/>
      <c r="I52" s="1550"/>
      <c r="J52" s="534"/>
      <c r="K52" s="540"/>
      <c r="L52" s="558"/>
      <c r="M52" s="528"/>
      <c r="N52" s="515"/>
      <c r="O52" s="515"/>
      <c r="P52" s="1498"/>
      <c r="Q52" s="515"/>
    </row>
    <row r="53" spans="1:17" ht="15.75">
      <c r="A53" s="523"/>
      <c r="B53" s="524">
        <f t="shared" si="4"/>
        <v>39</v>
      </c>
      <c r="C53" s="535" t="s">
        <v>796</v>
      </c>
      <c r="D53" s="514" t="s">
        <v>793</v>
      </c>
      <c r="E53" s="514"/>
      <c r="F53" s="531">
        <f t="shared" si="5"/>
        <v>2024</v>
      </c>
      <c r="G53" s="532">
        <v>13752588148.529999</v>
      </c>
      <c r="H53" s="523"/>
      <c r="I53" s="1550"/>
      <c r="J53" s="534"/>
      <c r="K53" s="540"/>
      <c r="L53" s="558"/>
      <c r="M53" s="528"/>
      <c r="N53" s="515"/>
      <c r="O53" s="515"/>
      <c r="P53" s="1498"/>
      <c r="Q53" s="515"/>
    </row>
    <row r="54" spans="1:17" ht="15.75">
      <c r="A54" s="523"/>
      <c r="B54" s="524">
        <f t="shared" si="4"/>
        <v>40</v>
      </c>
      <c r="C54" s="535" t="s">
        <v>797</v>
      </c>
      <c r="D54" s="514" t="s">
        <v>793</v>
      </c>
      <c r="E54" s="514"/>
      <c r="F54" s="531">
        <f t="shared" si="5"/>
        <v>2024</v>
      </c>
      <c r="G54" s="532">
        <v>13760511224.829996</v>
      </c>
      <c r="H54" s="523"/>
      <c r="I54" s="1550"/>
      <c r="J54" s="534"/>
      <c r="K54" s="540"/>
      <c r="L54" s="558"/>
      <c r="M54" s="528"/>
      <c r="N54" s="515"/>
      <c r="O54" s="515"/>
      <c r="P54" s="1498"/>
      <c r="Q54" s="515"/>
    </row>
    <row r="55" spans="1:17" ht="15.75">
      <c r="A55" s="523"/>
      <c r="B55" s="524">
        <f t="shared" si="4"/>
        <v>41</v>
      </c>
      <c r="C55" s="535" t="s">
        <v>930</v>
      </c>
      <c r="D55" s="514" t="s">
        <v>793</v>
      </c>
      <c r="E55" s="514"/>
      <c r="F55" s="531">
        <f t="shared" si="5"/>
        <v>2024</v>
      </c>
      <c r="G55" s="532">
        <v>13778694185.859997</v>
      </c>
      <c r="H55" s="523"/>
      <c r="I55" s="1550"/>
      <c r="J55" s="534"/>
      <c r="K55" s="540"/>
      <c r="L55" s="558"/>
      <c r="M55" s="528"/>
      <c r="N55" s="515"/>
      <c r="O55" s="515"/>
      <c r="P55" s="1498"/>
      <c r="Q55" s="515"/>
    </row>
    <row r="56" spans="1:17" ht="15.75">
      <c r="A56" s="523"/>
      <c r="B56" s="524">
        <f t="shared" si="4"/>
        <v>42</v>
      </c>
      <c r="C56" s="535" t="s">
        <v>799</v>
      </c>
      <c r="D56" s="514" t="s">
        <v>793</v>
      </c>
      <c r="E56" s="514"/>
      <c r="F56" s="531">
        <f t="shared" si="5"/>
        <v>2024</v>
      </c>
      <c r="G56" s="532">
        <v>13783276279.899998</v>
      </c>
      <c r="H56" s="523"/>
      <c r="I56" s="1550"/>
      <c r="J56" s="534"/>
      <c r="K56" s="540"/>
      <c r="L56" s="558"/>
      <c r="M56" s="528"/>
      <c r="N56" s="515"/>
      <c r="O56" s="515"/>
      <c r="P56" s="1498"/>
      <c r="Q56" s="515"/>
    </row>
    <row r="57" spans="1:17" ht="15.75">
      <c r="A57" s="523"/>
      <c r="B57" s="524">
        <f t="shared" si="4"/>
        <v>43</v>
      </c>
      <c r="C57" s="535" t="s">
        <v>800</v>
      </c>
      <c r="D57" s="514" t="s">
        <v>793</v>
      </c>
      <c r="E57" s="514"/>
      <c r="F57" s="531">
        <f t="shared" si="5"/>
        <v>2024</v>
      </c>
      <c r="G57" s="532">
        <v>13787217397.84</v>
      </c>
      <c r="H57" s="523"/>
      <c r="I57" s="1550"/>
      <c r="J57" s="534"/>
      <c r="K57" s="540"/>
      <c r="L57" s="558"/>
      <c r="M57" s="528"/>
      <c r="N57" s="515"/>
      <c r="O57" s="515"/>
      <c r="P57" s="1498"/>
      <c r="Q57" s="515"/>
    </row>
    <row r="58" spans="1:17" ht="15.75">
      <c r="A58" s="523"/>
      <c r="B58" s="524">
        <f t="shared" si="4"/>
        <v>44</v>
      </c>
      <c r="C58" s="535" t="s">
        <v>801</v>
      </c>
      <c r="D58" s="514" t="s">
        <v>793</v>
      </c>
      <c r="E58" s="514"/>
      <c r="F58" s="531">
        <f t="shared" si="5"/>
        <v>2024</v>
      </c>
      <c r="G58" s="532">
        <v>13872763536.669998</v>
      </c>
      <c r="H58" s="523"/>
      <c r="I58" s="1550"/>
      <c r="J58" s="534"/>
      <c r="K58" s="540"/>
      <c r="L58" s="558"/>
      <c r="M58" s="528"/>
      <c r="N58" s="515"/>
      <c r="O58" s="515"/>
      <c r="P58" s="1498"/>
      <c r="Q58" s="515"/>
    </row>
    <row r="59" spans="1:17" ht="15.75">
      <c r="A59" s="523"/>
      <c r="B59" s="524">
        <f t="shared" si="4"/>
        <v>45</v>
      </c>
      <c r="C59" s="535" t="s">
        <v>806</v>
      </c>
      <c r="D59" s="514" t="s">
        <v>793</v>
      </c>
      <c r="E59" s="514"/>
      <c r="F59" s="531">
        <f t="shared" si="5"/>
        <v>2024</v>
      </c>
      <c r="G59" s="532">
        <v>13877021974.9</v>
      </c>
      <c r="H59" s="523"/>
      <c r="I59" s="1550"/>
      <c r="J59" s="534"/>
      <c r="K59" s="540"/>
      <c r="L59" s="558"/>
      <c r="M59" s="528"/>
      <c r="N59" s="515"/>
      <c r="O59" s="515"/>
      <c r="P59" s="1498"/>
      <c r="Q59" s="515"/>
    </row>
    <row r="60" spans="1:17" ht="15.75">
      <c r="A60" s="523"/>
      <c r="B60" s="524">
        <f t="shared" si="4"/>
        <v>46</v>
      </c>
      <c r="C60" s="535" t="s">
        <v>803</v>
      </c>
      <c r="D60" s="514" t="s">
        <v>793</v>
      </c>
      <c r="E60" s="514"/>
      <c r="F60" s="531">
        <f t="shared" si="5"/>
        <v>2024</v>
      </c>
      <c r="G60" s="532">
        <v>13904306234.199997</v>
      </c>
      <c r="H60" s="523"/>
      <c r="I60" s="1550"/>
      <c r="J60" s="534"/>
      <c r="K60" s="568"/>
      <c r="L60" s="569"/>
      <c r="M60" s="528"/>
      <c r="N60" s="515"/>
      <c r="O60" s="515"/>
      <c r="P60" s="1498"/>
      <c r="Q60" s="515"/>
    </row>
    <row r="61" spans="1:17" ht="15.75">
      <c r="A61" s="523"/>
      <c r="B61" s="524">
        <f t="shared" si="4"/>
        <v>47</v>
      </c>
      <c r="C61" s="542" t="s">
        <v>791</v>
      </c>
      <c r="D61" s="1724" t="s">
        <v>816</v>
      </c>
      <c r="E61" s="543"/>
      <c r="F61" s="544">
        <f t="shared" si="5"/>
        <v>2024</v>
      </c>
      <c r="G61" s="532">
        <v>14070268661.739998</v>
      </c>
      <c r="H61" s="533" t="str">
        <f>IF((INDEX(Inputs_EndYrBal,MATCH($D61,Inputs_FF1_Map,0))-G61)&lt;1,"-","Check values!")</f>
        <v>-</v>
      </c>
      <c r="I61" s="1550"/>
      <c r="J61" s="534"/>
      <c r="K61" s="514"/>
      <c r="L61" s="563"/>
      <c r="M61" s="528"/>
      <c r="N61" s="515"/>
      <c r="O61" s="515"/>
      <c r="P61" s="1498"/>
      <c r="Q61" s="515"/>
    </row>
    <row r="62" spans="1:17" ht="15.75">
      <c r="A62" s="523"/>
      <c r="B62" s="524">
        <f t="shared" si="4"/>
        <v>48</v>
      </c>
      <c r="C62" s="547" t="s">
        <v>817</v>
      </c>
      <c r="D62" s="548" t="str">
        <f>IF(Toggle=Projection,"(line "&amp;B61&amp;")",IF(Toggle=True_up,"(sum lines "&amp;B49&amp;"-"&amp;B61&amp;") /13","Set Toggle!"))</f>
        <v>(line 47)</v>
      </c>
      <c r="E62" s="514"/>
      <c r="F62" s="550" t="str">
        <f>Toggle</f>
        <v>Projection</v>
      </c>
      <c r="G62" s="1468">
        <f>IF(Toggle=Projection,G61,IF(Toggle=True_up,AVERAGE(G49:G61),"Set Toggle!"))</f>
        <v>14070268661.739998</v>
      </c>
      <c r="H62" s="570"/>
      <c r="I62" s="1550"/>
      <c r="J62" s="534"/>
      <c r="K62" s="540"/>
      <c r="L62" s="553"/>
      <c r="M62" s="554"/>
      <c r="N62" s="515"/>
      <c r="O62" s="515"/>
      <c r="P62" s="1498"/>
      <c r="Q62" s="515"/>
    </row>
    <row r="63" spans="1:17" ht="15.75">
      <c r="A63" s="571"/>
      <c r="B63" s="514"/>
      <c r="C63" s="535"/>
      <c r="D63" s="514"/>
      <c r="E63" s="514"/>
      <c r="F63" s="556"/>
      <c r="G63" s="557"/>
      <c r="H63" s="539"/>
      <c r="I63" s="1550"/>
      <c r="J63" s="534"/>
      <c r="K63" s="540"/>
      <c r="L63" s="558"/>
      <c r="M63" s="528"/>
      <c r="N63" s="515"/>
      <c r="O63" s="515"/>
      <c r="P63" s="1498"/>
      <c r="Q63" s="515"/>
    </row>
    <row r="64" spans="1:17" ht="15.75">
      <c r="A64" s="571"/>
      <c r="B64" s="514"/>
      <c r="C64" s="525"/>
      <c r="D64" s="514"/>
      <c r="E64" s="514"/>
      <c r="F64" s="524"/>
      <c r="G64" s="572"/>
      <c r="H64" s="573"/>
      <c r="I64" s="1550"/>
      <c r="J64" s="534"/>
      <c r="K64" s="540"/>
      <c r="L64" s="558"/>
      <c r="M64" s="528"/>
      <c r="N64" s="515"/>
      <c r="O64" s="515"/>
      <c r="P64" s="1498"/>
      <c r="Q64" s="515"/>
    </row>
    <row r="65" spans="1:17" ht="15.75">
      <c r="A65" s="523"/>
      <c r="B65" s="524">
        <f>+B62+1</f>
        <v>49</v>
      </c>
      <c r="C65" s="535" t="s">
        <v>818</v>
      </c>
      <c r="D65" s="1723" t="s">
        <v>1871</v>
      </c>
      <c r="E65" s="530"/>
      <c r="F65" s="574"/>
      <c r="G65" s="532">
        <v>184655.59</v>
      </c>
      <c r="H65" s="533" t="str">
        <f>IF((INDEX(Inputs_EndYrBal,MATCH("204.102g",Inputs_FF1_Map,0))-G65)&lt;1,"-","Check values!")</f>
        <v>-</v>
      </c>
      <c r="I65" s="1550"/>
      <c r="J65" s="534"/>
      <c r="K65" s="540"/>
      <c r="L65" s="553"/>
      <c r="M65" s="554"/>
      <c r="N65" s="515"/>
      <c r="O65" s="515"/>
      <c r="P65" s="1498"/>
      <c r="Q65" s="515"/>
    </row>
    <row r="66" spans="1:17" ht="15.75">
      <c r="A66" s="523"/>
      <c r="B66" s="524"/>
      <c r="C66" s="547"/>
      <c r="D66" s="514"/>
      <c r="E66" s="514"/>
      <c r="F66" s="567"/>
      <c r="G66" s="565"/>
      <c r="H66" s="575"/>
      <c r="I66" s="1552"/>
      <c r="J66" s="534"/>
      <c r="K66" s="540"/>
      <c r="L66" s="558"/>
      <c r="M66" s="528"/>
      <c r="N66" s="515"/>
      <c r="O66" s="515"/>
      <c r="P66" s="1498"/>
      <c r="Q66" s="515"/>
    </row>
    <row r="67" spans="1:17" ht="15.75">
      <c r="A67" s="523"/>
      <c r="B67" s="524"/>
      <c r="C67" s="547"/>
      <c r="D67" s="514"/>
      <c r="E67" s="514"/>
      <c r="F67" s="567"/>
      <c r="G67" s="565"/>
      <c r="H67" s="576"/>
      <c r="I67" s="1552"/>
      <c r="J67" s="534"/>
      <c r="K67" s="540"/>
      <c r="L67" s="558"/>
      <c r="M67" s="577"/>
      <c r="N67" s="515"/>
      <c r="O67" s="515"/>
      <c r="P67" s="1498"/>
      <c r="Q67" s="515"/>
    </row>
    <row r="68" spans="1:17" ht="15.75">
      <c r="A68" s="523">
        <f>'Appendix A'!$A$21</f>
        <v>6</v>
      </c>
      <c r="B68" s="524">
        <f>+B65+1</f>
        <v>50</v>
      </c>
      <c r="C68" s="578" t="s">
        <v>819</v>
      </c>
      <c r="D68" s="579" t="str">
        <f>"(sum lines "&amp;B20&amp;", "&amp;B36&amp;", "&amp;B41&amp;", "&amp;B46&amp;", "&amp;B62&amp;", &amp; "&amp;B65&amp;")"</f>
        <v>(sum lines 14, 28, 31, 34, 48, &amp; 49)</v>
      </c>
      <c r="E68" s="580" t="str">
        <f>'Appendix A'!$E$21</f>
        <v>(Note M)</v>
      </c>
      <c r="F68" s="581" t="str">
        <f>Toggle</f>
        <v>Projection</v>
      </c>
      <c r="G68" s="582">
        <f>SUM(G62,G46,G41,G36,G20,G65)</f>
        <v>37695272575.799995</v>
      </c>
      <c r="H68" s="552" t="s">
        <v>804</v>
      </c>
      <c r="I68" s="1552"/>
      <c r="J68" s="534"/>
      <c r="K68" s="514"/>
      <c r="L68" s="514"/>
      <c r="M68" s="564"/>
      <c r="N68" s="515"/>
      <c r="O68" s="515"/>
      <c r="P68" s="1498"/>
      <c r="Q68" s="515"/>
    </row>
    <row r="69" spans="1:17" ht="16.5" thickBot="1">
      <c r="A69" s="583"/>
      <c r="B69" s="584"/>
      <c r="C69" s="585"/>
      <c r="D69" s="586"/>
      <c r="E69" s="586"/>
      <c r="F69" s="587"/>
      <c r="G69" s="588"/>
      <c r="H69" s="589"/>
      <c r="I69" s="584"/>
      <c r="J69" s="584"/>
      <c r="K69" s="590"/>
      <c r="L69" s="590"/>
      <c r="M69" s="591"/>
      <c r="N69" s="515"/>
      <c r="O69" s="515"/>
      <c r="P69" s="1498"/>
      <c r="Q69" s="515"/>
    </row>
    <row r="70" spans="1:17" ht="15.75">
      <c r="A70" s="524"/>
      <c r="B70" s="524"/>
      <c r="C70" s="535"/>
      <c r="D70" s="514"/>
      <c r="E70" s="514"/>
      <c r="F70" s="556"/>
      <c r="G70" s="535"/>
      <c r="H70" s="575"/>
      <c r="I70" s="524"/>
      <c r="J70" s="524"/>
      <c r="K70" s="540"/>
      <c r="L70" s="540"/>
      <c r="M70" s="540"/>
      <c r="N70" s="515"/>
      <c r="O70" s="515"/>
      <c r="P70" s="1498"/>
      <c r="Q70" s="515"/>
    </row>
    <row r="71" spans="1:17" ht="15.75">
      <c r="A71" s="524"/>
      <c r="B71" s="524"/>
      <c r="C71" s="535"/>
      <c r="D71" s="514"/>
      <c r="E71" s="514"/>
      <c r="F71" s="556"/>
      <c r="G71" s="535"/>
      <c r="H71" s="1607"/>
      <c r="I71" s="524"/>
      <c r="J71" s="524"/>
      <c r="K71" s="540"/>
      <c r="L71" s="540"/>
      <c r="M71" s="540"/>
      <c r="N71" s="515"/>
      <c r="O71" s="515"/>
      <c r="P71" s="1498"/>
      <c r="Q71" s="515"/>
    </row>
    <row r="72" spans="1:17" ht="16.5" thickBot="1">
      <c r="A72" s="516" t="s">
        <v>820</v>
      </c>
      <c r="B72" s="514"/>
      <c r="C72" s="514"/>
      <c r="D72" s="514"/>
      <c r="E72" s="514"/>
      <c r="F72" s="514"/>
      <c r="G72" s="514"/>
      <c r="H72" s="514"/>
      <c r="I72" s="514"/>
      <c r="J72" s="514"/>
      <c r="K72" s="514"/>
      <c r="L72" s="514"/>
      <c r="M72" s="514"/>
      <c r="N72" s="515"/>
      <c r="O72" s="515"/>
      <c r="P72" s="1498"/>
      <c r="Q72" s="515"/>
    </row>
    <row r="73" spans="1:17" ht="15.75">
      <c r="A73" s="1949" t="s">
        <v>784</v>
      </c>
      <c r="B73" s="1950"/>
      <c r="C73" s="1950"/>
      <c r="D73" s="1950"/>
      <c r="E73" s="1950"/>
      <c r="F73" s="1950"/>
      <c r="G73" s="1951"/>
      <c r="H73" s="518" t="s">
        <v>785</v>
      </c>
      <c r="I73" s="594"/>
      <c r="J73" s="594"/>
      <c r="K73" s="594"/>
      <c r="L73" s="594"/>
      <c r="M73" s="595"/>
      <c r="N73" s="515"/>
      <c r="O73" s="515"/>
      <c r="P73" s="1498"/>
      <c r="Q73" s="515"/>
    </row>
    <row r="74" spans="1:17" ht="15.75">
      <c r="A74" s="523"/>
      <c r="B74" s="524"/>
      <c r="C74" s="525" t="s">
        <v>821</v>
      </c>
      <c r="D74" s="514" t="s">
        <v>787</v>
      </c>
      <c r="E74" s="514"/>
      <c r="F74" s="524" t="s">
        <v>789</v>
      </c>
      <c r="G74" s="526" t="s">
        <v>790</v>
      </c>
      <c r="H74" s="527"/>
      <c r="I74" s="514"/>
      <c r="J74" s="514"/>
      <c r="K74" s="540"/>
      <c r="L74" s="540"/>
      <c r="M74" s="528"/>
      <c r="N74" s="515"/>
      <c r="O74" s="515"/>
      <c r="P74" s="1498"/>
      <c r="Q74" s="515"/>
    </row>
    <row r="75" spans="1:17" ht="15.75">
      <c r="A75" s="523"/>
      <c r="B75" s="524">
        <f>+B68+1</f>
        <v>51</v>
      </c>
      <c r="C75" s="514" t="s">
        <v>791</v>
      </c>
      <c r="D75" s="530" t="s">
        <v>822</v>
      </c>
      <c r="E75" s="530"/>
      <c r="F75" s="531">
        <f>+F49</f>
        <v>2023</v>
      </c>
      <c r="G75" s="532">
        <v>2258536003.6800003</v>
      </c>
      <c r="H75" s="533" t="str">
        <f>IF((INDEX(Inputs_EndYrBal_prior,MATCH($D87,Inputs_FF1_Map,0))-G75)&lt;1,"-","Check values!")</f>
        <v>-</v>
      </c>
      <c r="I75" s="1550"/>
      <c r="J75" s="534"/>
      <c r="K75" s="540"/>
      <c r="L75" s="540"/>
      <c r="M75" s="528"/>
      <c r="N75" s="515"/>
      <c r="O75" s="515"/>
      <c r="P75" s="1498"/>
      <c r="Q75" s="515"/>
    </row>
    <row r="76" spans="1:17" ht="15.75">
      <c r="A76" s="523"/>
      <c r="B76" s="524">
        <f t="shared" ref="B76:B88" si="6">+B75+1</f>
        <v>52</v>
      </c>
      <c r="C76" s="535" t="s">
        <v>792</v>
      </c>
      <c r="D76" s="514" t="s">
        <v>793</v>
      </c>
      <c r="E76" s="514"/>
      <c r="F76" s="531">
        <f>+F75+1</f>
        <v>2024</v>
      </c>
      <c r="G76" s="532">
        <v>2268827046.9200001</v>
      </c>
      <c r="H76" s="536"/>
      <c r="I76" s="1550"/>
      <c r="J76" s="534"/>
      <c r="K76" s="540"/>
      <c r="L76" s="540"/>
      <c r="M76" s="528"/>
      <c r="N76" s="515"/>
      <c r="O76" s="515"/>
      <c r="P76" s="1498"/>
      <c r="Q76" s="515"/>
    </row>
    <row r="77" spans="1:17" ht="15.75">
      <c r="A77" s="523"/>
      <c r="B77" s="524">
        <f t="shared" si="6"/>
        <v>53</v>
      </c>
      <c r="C77" s="535" t="s">
        <v>794</v>
      </c>
      <c r="D77" s="514" t="s">
        <v>793</v>
      </c>
      <c r="E77" s="514"/>
      <c r="F77" s="531">
        <f t="shared" ref="F77:F87" si="7">+F76</f>
        <v>2024</v>
      </c>
      <c r="G77" s="532">
        <v>2279340813.0099998</v>
      </c>
      <c r="H77" s="539"/>
      <c r="I77" s="1550"/>
      <c r="J77" s="534"/>
      <c r="K77" s="540"/>
      <c r="L77" s="540"/>
      <c r="M77" s="528"/>
      <c r="N77" s="515"/>
      <c r="O77" s="515"/>
      <c r="P77" s="1498"/>
      <c r="Q77" s="515"/>
    </row>
    <row r="78" spans="1:17" ht="15.75">
      <c r="A78" s="523"/>
      <c r="B78" s="524">
        <f t="shared" si="6"/>
        <v>54</v>
      </c>
      <c r="C78" s="535" t="s">
        <v>795</v>
      </c>
      <c r="D78" s="514" t="s">
        <v>793</v>
      </c>
      <c r="E78" s="514"/>
      <c r="F78" s="531">
        <f t="shared" si="7"/>
        <v>2024</v>
      </c>
      <c r="G78" s="532">
        <v>2289150636.8699999</v>
      </c>
      <c r="H78" s="539"/>
      <c r="I78" s="1550"/>
      <c r="J78" s="534"/>
      <c r="K78" s="540"/>
      <c r="L78" s="540"/>
      <c r="M78" s="528"/>
      <c r="N78" s="515"/>
      <c r="O78" s="515"/>
      <c r="P78" s="1498"/>
      <c r="Q78" s="515"/>
    </row>
    <row r="79" spans="1:17" ht="15.75">
      <c r="A79" s="523"/>
      <c r="B79" s="524">
        <f t="shared" si="6"/>
        <v>55</v>
      </c>
      <c r="C79" s="535" t="s">
        <v>796</v>
      </c>
      <c r="D79" s="514" t="s">
        <v>793</v>
      </c>
      <c r="E79" s="514"/>
      <c r="F79" s="531">
        <f t="shared" si="7"/>
        <v>2024</v>
      </c>
      <c r="G79" s="532">
        <v>2296378671.4499998</v>
      </c>
      <c r="H79" s="539"/>
      <c r="I79" s="1550"/>
      <c r="J79" s="534"/>
      <c r="K79" s="540"/>
      <c r="L79" s="540"/>
      <c r="M79" s="528"/>
      <c r="N79" s="515"/>
      <c r="O79" s="515"/>
      <c r="P79" s="1498"/>
      <c r="Q79" s="515"/>
    </row>
    <row r="80" spans="1:17" ht="15.75">
      <c r="A80" s="523"/>
      <c r="B80" s="524">
        <f t="shared" si="6"/>
        <v>56</v>
      </c>
      <c r="C80" s="535" t="s">
        <v>797</v>
      </c>
      <c r="D80" s="514" t="s">
        <v>793</v>
      </c>
      <c r="E80" s="514"/>
      <c r="F80" s="531">
        <f t="shared" si="7"/>
        <v>2024</v>
      </c>
      <c r="G80" s="532">
        <v>2305131060.3499999</v>
      </c>
      <c r="H80" s="523"/>
      <c r="I80" s="1550"/>
      <c r="J80" s="534"/>
      <c r="K80" s="514"/>
      <c r="L80" s="514"/>
      <c r="M80" s="564"/>
      <c r="N80" s="515"/>
      <c r="O80" s="515"/>
      <c r="P80" s="1498"/>
      <c r="Q80" s="515"/>
    </row>
    <row r="81" spans="1:17" ht="15.75">
      <c r="A81" s="523"/>
      <c r="B81" s="524">
        <f t="shared" si="6"/>
        <v>57</v>
      </c>
      <c r="C81" s="535" t="s">
        <v>798</v>
      </c>
      <c r="D81" s="514" t="s">
        <v>793</v>
      </c>
      <c r="E81" s="514"/>
      <c r="F81" s="531">
        <f t="shared" si="7"/>
        <v>2024</v>
      </c>
      <c r="G81" s="532">
        <v>2315043295.4299998</v>
      </c>
      <c r="H81" s="539"/>
      <c r="I81" s="1550"/>
      <c r="J81" s="534"/>
      <c r="K81" s="540"/>
      <c r="L81" s="540"/>
      <c r="M81" s="528"/>
      <c r="N81" s="515"/>
      <c r="O81" s="515"/>
      <c r="P81" s="1498"/>
      <c r="Q81" s="515"/>
    </row>
    <row r="82" spans="1:17" ht="15.75">
      <c r="A82" s="523"/>
      <c r="B82" s="524">
        <f t="shared" si="6"/>
        <v>58</v>
      </c>
      <c r="C82" s="535" t="s">
        <v>799</v>
      </c>
      <c r="D82" s="514" t="s">
        <v>793</v>
      </c>
      <c r="E82" s="514"/>
      <c r="F82" s="531">
        <f t="shared" si="7"/>
        <v>2024</v>
      </c>
      <c r="G82" s="532">
        <v>2325849681.77</v>
      </c>
      <c r="H82" s="536"/>
      <c r="I82" s="1550"/>
      <c r="J82" s="534"/>
      <c r="K82" s="515"/>
      <c r="L82" s="515"/>
      <c r="M82" s="528"/>
      <c r="N82" s="515"/>
      <c r="O82" s="515"/>
      <c r="P82" s="1498"/>
      <c r="Q82" s="515"/>
    </row>
    <row r="83" spans="1:17" ht="15.75">
      <c r="A83" s="523"/>
      <c r="B83" s="524">
        <f t="shared" si="6"/>
        <v>59</v>
      </c>
      <c r="C83" s="535" t="s">
        <v>800</v>
      </c>
      <c r="D83" s="514" t="s">
        <v>793</v>
      </c>
      <c r="E83" s="514"/>
      <c r="F83" s="531">
        <f t="shared" si="7"/>
        <v>2024</v>
      </c>
      <c r="G83" s="532">
        <v>2335973575.79</v>
      </c>
      <c r="H83" s="539"/>
      <c r="I83" s="1550"/>
      <c r="J83" s="534"/>
      <c r="K83" s="515"/>
      <c r="L83" s="515"/>
      <c r="M83" s="528"/>
      <c r="N83" s="515"/>
      <c r="O83" s="515"/>
      <c r="P83" s="1498"/>
      <c r="Q83" s="515"/>
    </row>
    <row r="84" spans="1:17" ht="15.75">
      <c r="A84" s="523"/>
      <c r="B84" s="524">
        <f t="shared" si="6"/>
        <v>60</v>
      </c>
      <c r="C84" s="535" t="s">
        <v>801</v>
      </c>
      <c r="D84" s="514" t="s">
        <v>793</v>
      </c>
      <c r="E84" s="514"/>
      <c r="F84" s="531">
        <f t="shared" si="7"/>
        <v>2024</v>
      </c>
      <c r="G84" s="532">
        <v>2343920552.1700001</v>
      </c>
      <c r="H84" s="539"/>
      <c r="I84" s="1550"/>
      <c r="J84" s="534"/>
      <c r="K84" s="515"/>
      <c r="L84" s="515"/>
      <c r="M84" s="528"/>
      <c r="N84" s="515"/>
      <c r="O84" s="515"/>
      <c r="P84" s="1498"/>
      <c r="Q84" s="515"/>
    </row>
    <row r="85" spans="1:17" ht="15.75">
      <c r="A85" s="523"/>
      <c r="B85" s="524">
        <f t="shared" si="6"/>
        <v>61</v>
      </c>
      <c r="C85" s="535" t="s">
        <v>806</v>
      </c>
      <c r="D85" s="514" t="s">
        <v>793</v>
      </c>
      <c r="E85" s="514"/>
      <c r="F85" s="531">
        <f t="shared" si="7"/>
        <v>2024</v>
      </c>
      <c r="G85" s="532">
        <v>2354700050.0900002</v>
      </c>
      <c r="H85" s="539"/>
      <c r="I85" s="1550"/>
      <c r="J85" s="534"/>
      <c r="K85" s="515"/>
      <c r="L85" s="515"/>
      <c r="M85" s="528"/>
      <c r="N85" s="515"/>
      <c r="O85" s="515"/>
      <c r="P85" s="1498"/>
      <c r="Q85" s="515"/>
    </row>
    <row r="86" spans="1:17" ht="15.75">
      <c r="A86" s="523"/>
      <c r="B86" s="524">
        <f t="shared" si="6"/>
        <v>62</v>
      </c>
      <c r="C86" s="535" t="s">
        <v>803</v>
      </c>
      <c r="D86" s="514" t="s">
        <v>793</v>
      </c>
      <c r="E86" s="514"/>
      <c r="F86" s="531">
        <f t="shared" si="7"/>
        <v>2024</v>
      </c>
      <c r="G86" s="532">
        <v>2366251033.1500001</v>
      </c>
      <c r="H86" s="523"/>
      <c r="I86" s="1550"/>
      <c r="J86" s="534"/>
      <c r="K86" s="515"/>
      <c r="L86" s="515"/>
      <c r="M86" s="528"/>
      <c r="N86" s="515"/>
      <c r="O86" s="515"/>
      <c r="P86" s="1498"/>
      <c r="Q86" s="515"/>
    </row>
    <row r="87" spans="1:17" ht="15.75">
      <c r="A87" s="523"/>
      <c r="B87" s="524">
        <f t="shared" si="6"/>
        <v>63</v>
      </c>
      <c r="C87" s="542" t="s">
        <v>791</v>
      </c>
      <c r="D87" s="543" t="s">
        <v>823</v>
      </c>
      <c r="E87" s="543"/>
      <c r="F87" s="544">
        <f t="shared" si="7"/>
        <v>2024</v>
      </c>
      <c r="G87" s="532">
        <v>2378284253.6000004</v>
      </c>
      <c r="H87" s="533" t="str">
        <f>IF((INDEX(Inputs_EndYrBal,MATCH($D87,Inputs_FF1_Map,0))-G87)&lt;1,"-","Check values!")</f>
        <v>-</v>
      </c>
      <c r="I87" s="1550"/>
      <c r="J87" s="534"/>
      <c r="K87" s="515"/>
      <c r="L87" s="515"/>
      <c r="M87" s="564"/>
      <c r="N87" s="515"/>
      <c r="O87" s="515"/>
      <c r="P87" s="1498"/>
      <c r="Q87" s="515"/>
    </row>
    <row r="88" spans="1:17" ht="15.75">
      <c r="A88" s="523">
        <f>'Appendix A'!$A$54</f>
        <v>25</v>
      </c>
      <c r="B88" s="524">
        <f t="shared" si="6"/>
        <v>64</v>
      </c>
      <c r="C88" s="547" t="s">
        <v>48</v>
      </c>
      <c r="D88" s="548" t="str">
        <f>IF(Toggle=Projection,"(line "&amp;B87&amp;")",IF(Toggle=True_up,"(sum lines "&amp;B75&amp;"-"&amp;B87&amp;") /13","Set Toggle!"))</f>
        <v>(line 63)</v>
      </c>
      <c r="E88" s="549" t="str">
        <f>'Appendix A'!$E$54</f>
        <v>(Note M)</v>
      </c>
      <c r="F88" s="550" t="str">
        <f>Toggle</f>
        <v>Projection</v>
      </c>
      <c r="G88" s="1469">
        <f>IF(Toggle=Projection,G87,IF(Toggle=True_up,AVERAGE(G75:G87),"Set Toggle!"))</f>
        <v>2378284253.6000004</v>
      </c>
      <c r="H88" s="552" t="s">
        <v>804</v>
      </c>
      <c r="I88" s="514"/>
      <c r="J88" s="534"/>
      <c r="K88" s="515"/>
      <c r="L88" s="515"/>
      <c r="M88" s="528"/>
      <c r="N88" s="515"/>
      <c r="O88" s="515"/>
      <c r="P88" s="1498"/>
      <c r="Q88" s="515"/>
    </row>
    <row r="89" spans="1:17" ht="15.75">
      <c r="A89" s="523"/>
      <c r="B89" s="524"/>
      <c r="C89" s="535"/>
      <c r="D89" s="514"/>
      <c r="E89" s="514"/>
      <c r="F89" s="556"/>
      <c r="G89" s="557"/>
      <c r="H89" s="539"/>
      <c r="I89" s="514"/>
      <c r="J89" s="534"/>
      <c r="K89" s="515"/>
      <c r="L89" s="515"/>
      <c r="M89" s="528"/>
      <c r="N89" s="515"/>
      <c r="O89" s="515"/>
      <c r="P89" s="1498"/>
      <c r="Q89" s="515"/>
    </row>
    <row r="90" spans="1:17" ht="15.75">
      <c r="A90" s="523"/>
      <c r="B90" s="524"/>
      <c r="C90" s="525" t="s">
        <v>824</v>
      </c>
      <c r="D90" s="514" t="s">
        <v>787</v>
      </c>
      <c r="E90" s="514"/>
      <c r="F90" s="524" t="s">
        <v>789</v>
      </c>
      <c r="G90" s="596" t="s">
        <v>790</v>
      </c>
      <c r="H90" s="523"/>
      <c r="I90" s="514"/>
      <c r="J90" s="534"/>
      <c r="K90" s="597"/>
      <c r="L90" s="540"/>
      <c r="M90" s="528"/>
      <c r="N90" s="515"/>
      <c r="O90" s="515"/>
      <c r="P90" s="1498"/>
      <c r="Q90" s="515"/>
    </row>
    <row r="91" spans="1:17" ht="15.75">
      <c r="A91" s="523"/>
      <c r="B91" s="524">
        <f>+B88+1</f>
        <v>65</v>
      </c>
      <c r="C91" s="514" t="s">
        <v>791</v>
      </c>
      <c r="D91" s="530" t="s">
        <v>825</v>
      </c>
      <c r="E91" s="530"/>
      <c r="F91" s="531">
        <f>+F75</f>
        <v>2023</v>
      </c>
      <c r="G91" s="532">
        <v>3342434416.0999999</v>
      </c>
      <c r="H91" s="533" t="str">
        <f>IF((INDEX(Inputs_EndYrBal_prior,MATCH($D103,Inputs_FF1_Map,0))-G91)&lt;1,"-","Check values!")</f>
        <v>-</v>
      </c>
      <c r="I91" s="1550"/>
      <c r="J91" s="534"/>
      <c r="K91" s="598"/>
      <c r="L91" s="598"/>
      <c r="M91" s="528"/>
      <c r="N91" s="515"/>
      <c r="O91" s="515"/>
      <c r="P91" s="1498"/>
      <c r="Q91" s="515"/>
    </row>
    <row r="92" spans="1:17" ht="15.75">
      <c r="A92" s="523"/>
      <c r="B92" s="524">
        <f t="shared" ref="B92:B104" si="8">+B91+1</f>
        <v>66</v>
      </c>
      <c r="C92" s="535" t="s">
        <v>792</v>
      </c>
      <c r="D92" s="514" t="s">
        <v>793</v>
      </c>
      <c r="E92" s="514"/>
      <c r="F92" s="531">
        <f>+F91+1</f>
        <v>2024</v>
      </c>
      <c r="G92" s="532">
        <v>3352306317.29</v>
      </c>
      <c r="H92" s="536"/>
      <c r="I92" s="1550"/>
      <c r="J92" s="534"/>
      <c r="K92" s="540"/>
      <c r="L92" s="540"/>
      <c r="M92" s="528"/>
      <c r="N92" s="515"/>
      <c r="O92" s="515"/>
      <c r="P92" s="1498"/>
      <c r="Q92" s="515"/>
    </row>
    <row r="93" spans="1:17" ht="15.75">
      <c r="A93" s="523"/>
      <c r="B93" s="524">
        <f t="shared" si="8"/>
        <v>67</v>
      </c>
      <c r="C93" s="535" t="s">
        <v>794</v>
      </c>
      <c r="D93" s="514" t="s">
        <v>793</v>
      </c>
      <c r="E93" s="514"/>
      <c r="F93" s="531">
        <f t="shared" ref="F93:F103" si="9">+F92</f>
        <v>2024</v>
      </c>
      <c r="G93" s="532">
        <v>3362127132</v>
      </c>
      <c r="H93" s="539"/>
      <c r="I93" s="1550"/>
      <c r="J93" s="534"/>
      <c r="K93" s="540"/>
      <c r="L93" s="540"/>
      <c r="M93" s="528"/>
      <c r="N93" s="515"/>
      <c r="O93" s="515"/>
      <c r="P93" s="1498"/>
      <c r="Q93" s="515"/>
    </row>
    <row r="94" spans="1:17" ht="15.75">
      <c r="A94" s="523"/>
      <c r="B94" s="524">
        <f t="shared" si="8"/>
        <v>68</v>
      </c>
      <c r="C94" s="535" t="s">
        <v>795</v>
      </c>
      <c r="D94" s="514" t="s">
        <v>793</v>
      </c>
      <c r="E94" s="514"/>
      <c r="F94" s="531">
        <f t="shared" si="9"/>
        <v>2024</v>
      </c>
      <c r="G94" s="532">
        <v>3375128317.4000001</v>
      </c>
      <c r="H94" s="539"/>
      <c r="I94" s="1550"/>
      <c r="J94" s="534"/>
      <c r="K94" s="540"/>
      <c r="L94" s="540"/>
      <c r="M94" s="528"/>
      <c r="N94" s="515"/>
      <c r="O94" s="515"/>
      <c r="P94" s="1498"/>
      <c r="Q94" s="515"/>
    </row>
    <row r="95" spans="1:17" ht="15.75">
      <c r="A95" s="523"/>
      <c r="B95" s="524">
        <f t="shared" si="8"/>
        <v>69</v>
      </c>
      <c r="C95" s="535" t="s">
        <v>796</v>
      </c>
      <c r="D95" s="514" t="s">
        <v>793</v>
      </c>
      <c r="E95" s="514"/>
      <c r="F95" s="531">
        <f t="shared" si="9"/>
        <v>2024</v>
      </c>
      <c r="G95" s="532">
        <v>3386923342.8499999</v>
      </c>
      <c r="H95" s="539"/>
      <c r="I95" s="1550"/>
      <c r="J95" s="534"/>
      <c r="K95" s="540"/>
      <c r="L95" s="540"/>
      <c r="M95" s="528"/>
      <c r="N95" s="515"/>
      <c r="O95" s="515"/>
      <c r="P95" s="1498"/>
      <c r="Q95" s="515"/>
    </row>
    <row r="96" spans="1:17" ht="15.75">
      <c r="A96" s="523"/>
      <c r="B96" s="524">
        <f t="shared" si="8"/>
        <v>70</v>
      </c>
      <c r="C96" s="535" t="s">
        <v>797</v>
      </c>
      <c r="D96" s="514" t="s">
        <v>793</v>
      </c>
      <c r="E96" s="514"/>
      <c r="F96" s="531">
        <f t="shared" si="9"/>
        <v>2024</v>
      </c>
      <c r="G96" s="532">
        <v>3397924481.5</v>
      </c>
      <c r="H96" s="523"/>
      <c r="I96" s="1550"/>
      <c r="J96" s="534"/>
      <c r="K96" s="514"/>
      <c r="L96" s="514"/>
      <c r="M96" s="564"/>
      <c r="N96" s="515"/>
      <c r="O96" s="515"/>
      <c r="P96" s="1498"/>
      <c r="Q96" s="515"/>
    </row>
    <row r="97" spans="1:17" ht="15.75">
      <c r="A97" s="523"/>
      <c r="B97" s="524">
        <f t="shared" si="8"/>
        <v>71</v>
      </c>
      <c r="C97" s="535" t="s">
        <v>798</v>
      </c>
      <c r="D97" s="514" t="s">
        <v>793</v>
      </c>
      <c r="E97" s="514"/>
      <c r="F97" s="531">
        <f t="shared" si="9"/>
        <v>2024</v>
      </c>
      <c r="G97" s="532">
        <v>3410051106.27</v>
      </c>
      <c r="H97" s="539"/>
      <c r="I97" s="1550"/>
      <c r="J97" s="534"/>
      <c r="K97" s="540"/>
      <c r="L97" s="540"/>
      <c r="M97" s="528"/>
      <c r="N97" s="515"/>
      <c r="O97" s="515"/>
      <c r="P97" s="1498"/>
      <c r="Q97" s="515"/>
    </row>
    <row r="98" spans="1:17" ht="15.75">
      <c r="A98" s="523"/>
      <c r="B98" s="524">
        <f t="shared" si="8"/>
        <v>72</v>
      </c>
      <c r="C98" s="535" t="s">
        <v>799</v>
      </c>
      <c r="D98" s="514" t="s">
        <v>793</v>
      </c>
      <c r="E98" s="514"/>
      <c r="F98" s="531">
        <f t="shared" si="9"/>
        <v>2024</v>
      </c>
      <c r="G98" s="532">
        <v>3422480145.5</v>
      </c>
      <c r="H98" s="536"/>
      <c r="I98" s="1550"/>
      <c r="J98" s="534"/>
      <c r="K98" s="540"/>
      <c r="L98" s="540"/>
      <c r="M98" s="528"/>
      <c r="N98" s="515"/>
      <c r="O98" s="515"/>
      <c r="P98" s="1498"/>
      <c r="Q98" s="515"/>
    </row>
    <row r="99" spans="1:17" ht="15.75">
      <c r="A99" s="523"/>
      <c r="B99" s="524">
        <f t="shared" si="8"/>
        <v>73</v>
      </c>
      <c r="C99" s="535" t="s">
        <v>800</v>
      </c>
      <c r="D99" s="514" t="s">
        <v>793</v>
      </c>
      <c r="E99" s="514"/>
      <c r="F99" s="531">
        <f t="shared" si="9"/>
        <v>2024</v>
      </c>
      <c r="G99" s="532">
        <v>3432746066.79</v>
      </c>
      <c r="H99" s="539"/>
      <c r="I99" s="1550"/>
      <c r="J99" s="534"/>
      <c r="K99" s="540"/>
      <c r="L99" s="540"/>
      <c r="M99" s="528"/>
      <c r="N99" s="515"/>
      <c r="O99" s="515"/>
      <c r="P99" s="1498"/>
      <c r="Q99" s="515"/>
    </row>
    <row r="100" spans="1:17" ht="15.75">
      <c r="A100" s="523"/>
      <c r="B100" s="524">
        <f t="shared" si="8"/>
        <v>74</v>
      </c>
      <c r="C100" s="535" t="s">
        <v>801</v>
      </c>
      <c r="D100" s="514" t="s">
        <v>793</v>
      </c>
      <c r="E100" s="514"/>
      <c r="F100" s="531">
        <f t="shared" si="9"/>
        <v>2024</v>
      </c>
      <c r="G100" s="532">
        <v>3441651586.48</v>
      </c>
      <c r="H100" s="539"/>
      <c r="I100" s="1550"/>
      <c r="J100" s="534"/>
      <c r="K100" s="540"/>
      <c r="L100" s="540"/>
      <c r="M100" s="528"/>
      <c r="N100" s="515"/>
      <c r="O100" s="515"/>
      <c r="P100" s="1498"/>
      <c r="Q100" s="515"/>
    </row>
    <row r="101" spans="1:17" ht="15.75">
      <c r="A101" s="523"/>
      <c r="B101" s="524">
        <f t="shared" si="8"/>
        <v>75</v>
      </c>
      <c r="C101" s="535" t="s">
        <v>802</v>
      </c>
      <c r="D101" s="514" t="s">
        <v>793</v>
      </c>
      <c r="E101" s="514"/>
      <c r="F101" s="531">
        <f t="shared" si="9"/>
        <v>2024</v>
      </c>
      <c r="G101" s="532">
        <v>3451520242.29</v>
      </c>
      <c r="H101" s="539"/>
      <c r="I101" s="1550"/>
      <c r="J101" s="534"/>
      <c r="K101" s="540"/>
      <c r="L101" s="540"/>
      <c r="M101" s="528"/>
      <c r="N101" s="515"/>
      <c r="O101" s="515"/>
      <c r="P101" s="1498"/>
      <c r="Q101" s="515"/>
    </row>
    <row r="102" spans="1:17" ht="15.75">
      <c r="A102" s="523"/>
      <c r="B102" s="524">
        <f t="shared" si="8"/>
        <v>76</v>
      </c>
      <c r="C102" s="535" t="s">
        <v>803</v>
      </c>
      <c r="D102" s="514" t="s">
        <v>793</v>
      </c>
      <c r="E102" s="514"/>
      <c r="F102" s="531">
        <f t="shared" si="9"/>
        <v>2024</v>
      </c>
      <c r="G102" s="532">
        <v>3461389488.4500003</v>
      </c>
      <c r="H102" s="539"/>
      <c r="I102" s="1550"/>
      <c r="J102" s="534"/>
      <c r="K102" s="540"/>
      <c r="L102" s="540"/>
      <c r="M102" s="528"/>
      <c r="N102" s="515"/>
      <c r="O102" s="515"/>
      <c r="P102" s="1498"/>
      <c r="Q102" s="515"/>
    </row>
    <row r="103" spans="1:17" ht="15.75">
      <c r="A103" s="523"/>
      <c r="B103" s="524">
        <f t="shared" si="8"/>
        <v>77</v>
      </c>
      <c r="C103" s="542" t="s">
        <v>791</v>
      </c>
      <c r="D103" s="543" t="s">
        <v>826</v>
      </c>
      <c r="E103" s="543"/>
      <c r="F103" s="544">
        <f t="shared" si="9"/>
        <v>2024</v>
      </c>
      <c r="G103" s="532">
        <v>3470803801.5500002</v>
      </c>
      <c r="H103" s="533" t="str">
        <f>IF((INDEX(Inputs_EndYrBal,MATCH($D103,Inputs_FF1_Map,0))-G103)&lt;1,"-","Check values!")</f>
        <v>-</v>
      </c>
      <c r="I103" s="1550"/>
      <c r="J103" s="534"/>
      <c r="K103" s="599"/>
      <c r="L103" s="514"/>
      <c r="M103" s="564"/>
      <c r="N103" s="515"/>
      <c r="O103" s="515"/>
      <c r="P103" s="1498"/>
      <c r="Q103" s="515"/>
    </row>
    <row r="104" spans="1:17" ht="15.75">
      <c r="A104" s="523"/>
      <c r="B104" s="524">
        <f t="shared" si="8"/>
        <v>78</v>
      </c>
      <c r="C104" s="547" t="s">
        <v>827</v>
      </c>
      <c r="D104" s="548" t="str">
        <f>IF(Toggle=Projection,"(line "&amp;B103&amp;")",IF(Toggle=True_up,"(sum lines "&amp;B91&amp;"-"&amp;B103&amp;") /13","Set Toggle!"))</f>
        <v>(line 77)</v>
      </c>
      <c r="E104" s="514"/>
      <c r="F104" s="550" t="str">
        <f>Toggle</f>
        <v>Projection</v>
      </c>
      <c r="G104" s="1468">
        <f>IF(Toggle=Projection,G103,IF(Toggle=True_up,AVERAGE(G91:G103),"Set Toggle!"))</f>
        <v>3470803801.5500002</v>
      </c>
      <c r="H104" s="552"/>
      <c r="I104" s="514"/>
      <c r="J104" s="534"/>
      <c r="K104" s="540"/>
      <c r="L104" s="540"/>
      <c r="M104" s="528"/>
      <c r="N104" s="515"/>
      <c r="O104" s="515"/>
      <c r="P104" s="1498"/>
      <c r="Q104" s="515"/>
    </row>
    <row r="105" spans="1:17" ht="15.75">
      <c r="A105" s="523"/>
      <c r="B105" s="524"/>
      <c r="C105" s="535"/>
      <c r="D105" s="514"/>
      <c r="E105" s="514"/>
      <c r="F105" s="556"/>
      <c r="G105" s="557"/>
      <c r="H105" s="539"/>
      <c r="I105" s="514"/>
      <c r="J105" s="534"/>
      <c r="K105" s="540"/>
      <c r="L105" s="540"/>
      <c r="M105" s="528"/>
      <c r="N105" s="515"/>
      <c r="O105" s="515"/>
      <c r="P105" s="1498"/>
      <c r="Q105" s="515"/>
    </row>
    <row r="106" spans="1:17" ht="15.75">
      <c r="A106" s="523"/>
      <c r="B106" s="524"/>
      <c r="C106" s="525" t="s">
        <v>828</v>
      </c>
      <c r="D106" s="514" t="s">
        <v>787</v>
      </c>
      <c r="E106" s="514"/>
      <c r="F106" s="524" t="s">
        <v>789</v>
      </c>
      <c r="G106" s="596" t="s">
        <v>790</v>
      </c>
      <c r="H106" s="523"/>
      <c r="I106" s="514"/>
      <c r="J106" s="534"/>
      <c r="K106" s="540"/>
      <c r="L106" s="540"/>
      <c r="M106" s="528"/>
      <c r="N106" s="515"/>
      <c r="O106" s="515"/>
      <c r="P106" s="1498"/>
      <c r="Q106" s="515"/>
    </row>
    <row r="107" spans="1:17" ht="15.75">
      <c r="A107" s="523"/>
      <c r="B107" s="524">
        <f>+B104+1</f>
        <v>79</v>
      </c>
      <c r="C107" s="514" t="s">
        <v>791</v>
      </c>
      <c r="D107" s="530" t="s">
        <v>829</v>
      </c>
      <c r="E107" s="530"/>
      <c r="F107" s="531">
        <f>+F91</f>
        <v>2023</v>
      </c>
      <c r="G107" s="532">
        <v>781734972.19000006</v>
      </c>
      <c r="H107" s="533" t="str">
        <f>IF((INDEX(Inputs_EndYrBal_prior,MATCH($D108,Inputs_FF1_Map,0))-G107)&lt;1,"-","Check values!")</f>
        <v>-</v>
      </c>
      <c r="I107" s="1550"/>
      <c r="J107" s="534"/>
      <c r="K107" s="540"/>
      <c r="L107" s="540"/>
      <c r="M107" s="528"/>
      <c r="N107" s="515"/>
      <c r="O107" s="515"/>
      <c r="P107" s="1498"/>
      <c r="Q107" s="515"/>
    </row>
    <row r="108" spans="1:17" ht="15.75">
      <c r="A108" s="523"/>
      <c r="B108" s="524">
        <f>+B107+1</f>
        <v>80</v>
      </c>
      <c r="C108" s="542" t="s">
        <v>791</v>
      </c>
      <c r="D108" s="543" t="s">
        <v>830</v>
      </c>
      <c r="E108" s="543"/>
      <c r="F108" s="544">
        <f>+F107+1</f>
        <v>2024</v>
      </c>
      <c r="G108" s="532">
        <v>843345229.96000004</v>
      </c>
      <c r="H108" s="533" t="str">
        <f>IF((INDEX(Inputs_EndYrBal,MATCH($D108,Inputs_FF1_Map,0))-G108)&lt;1,"-","Check values!")</f>
        <v>-</v>
      </c>
      <c r="I108" s="1550"/>
      <c r="J108" s="534"/>
      <c r="K108" s="514"/>
      <c r="L108" s="514"/>
      <c r="M108" s="564"/>
      <c r="N108" s="515"/>
      <c r="O108" s="515"/>
      <c r="P108" s="1498"/>
      <c r="Q108" s="515"/>
    </row>
    <row r="109" spans="1:17" ht="15.75">
      <c r="A109" s="600">
        <f>'Appendix A'!$A$24</f>
        <v>8</v>
      </c>
      <c r="B109" s="524">
        <f>+B108+1</f>
        <v>81</v>
      </c>
      <c r="C109" s="547" t="s">
        <v>831</v>
      </c>
      <c r="D109" s="548" t="str">
        <f>IF(Toggle=Projection,"(line "&amp;B108&amp;")",IF(Toggle=True_up,"(sum lines "&amp;B107&amp;" &amp; "&amp;B108&amp;") /2","Set Toggle!"))</f>
        <v>(line 80)</v>
      </c>
      <c r="E109" s="549" t="str">
        <f>'Appendix A'!$E$24</f>
        <v>(Note N)</v>
      </c>
      <c r="F109" s="550" t="str">
        <f>Toggle</f>
        <v>Projection</v>
      </c>
      <c r="G109" s="551">
        <f>IF(Toggle=Projection,G108,IF(Toggle=True_up,AVERAGE(G107:G108),"Set Toggle!"))</f>
        <v>843345229.96000004</v>
      </c>
      <c r="H109" s="552" t="s">
        <v>804</v>
      </c>
      <c r="I109" s="514"/>
      <c r="J109" s="534"/>
      <c r="K109" s="515"/>
      <c r="L109" s="515"/>
      <c r="M109" s="601"/>
      <c r="N109" s="515"/>
      <c r="O109" s="515"/>
      <c r="P109" s="1498"/>
      <c r="Q109" s="515"/>
    </row>
    <row r="110" spans="1:17" ht="15.75">
      <c r="A110" s="523"/>
      <c r="B110" s="524"/>
      <c r="C110" s="535"/>
      <c r="D110" s="514"/>
      <c r="E110" s="514"/>
      <c r="F110" s="556"/>
      <c r="G110" s="557"/>
      <c r="H110" s="539"/>
      <c r="I110" s="514"/>
      <c r="J110" s="534"/>
      <c r="K110" s="515"/>
      <c r="L110" s="515"/>
      <c r="M110" s="601"/>
      <c r="N110" s="515"/>
      <c r="O110" s="602"/>
      <c r="P110" s="1498"/>
      <c r="Q110" s="515"/>
    </row>
    <row r="111" spans="1:17" ht="15.75">
      <c r="A111" s="523"/>
      <c r="B111" s="524"/>
      <c r="C111" s="525" t="s">
        <v>832</v>
      </c>
      <c r="D111" s="514" t="s">
        <v>787</v>
      </c>
      <c r="E111" s="514"/>
      <c r="F111" s="524" t="s">
        <v>789</v>
      </c>
      <c r="G111" s="596" t="s">
        <v>790</v>
      </c>
      <c r="H111" s="523"/>
      <c r="I111" s="514"/>
      <c r="J111" s="534"/>
      <c r="K111" s="515"/>
      <c r="L111" s="515"/>
      <c r="M111" s="601"/>
      <c r="N111" s="515"/>
      <c r="O111" s="602"/>
      <c r="P111" s="1498"/>
      <c r="Q111" s="515"/>
    </row>
    <row r="112" spans="1:17" ht="15.75">
      <c r="A112" s="523"/>
      <c r="B112" s="524">
        <f>+B109+1</f>
        <v>82</v>
      </c>
      <c r="C112" s="514" t="s">
        <v>791</v>
      </c>
      <c r="D112" s="530" t="s">
        <v>833</v>
      </c>
      <c r="E112" s="530"/>
      <c r="F112" s="531">
        <f>+F107</f>
        <v>2023</v>
      </c>
      <c r="G112" s="532">
        <v>579316418.12999988</v>
      </c>
      <c r="H112" s="533" t="str">
        <f>IF((INDEX(Inputs_EndYrBal_prior,MATCH($D113,Inputs_FF1_Map,0))-G112)&lt;1,"-","Check values!")</f>
        <v>-</v>
      </c>
      <c r="I112" s="1550"/>
      <c r="J112" s="534"/>
      <c r="K112" s="515"/>
      <c r="L112" s="515"/>
      <c r="M112" s="601"/>
      <c r="N112" s="515"/>
      <c r="O112" s="602"/>
      <c r="P112" s="1498"/>
      <c r="Q112" s="515"/>
    </row>
    <row r="113" spans="1:17" ht="15.75">
      <c r="A113" s="523"/>
      <c r="B113" s="524">
        <f>+B112+1</f>
        <v>83</v>
      </c>
      <c r="C113" s="542" t="s">
        <v>791</v>
      </c>
      <c r="D113" s="543" t="s">
        <v>834</v>
      </c>
      <c r="E113" s="543"/>
      <c r="F113" s="544">
        <f>+F112+1</f>
        <v>2024</v>
      </c>
      <c r="G113" s="545">
        <v>615054359.97000003</v>
      </c>
      <c r="H113" s="533" t="str">
        <f>IF((INDEX(Inputs_EndYrBal,MATCH($D113,Inputs_FF1_Map,0))-G113)&lt;1,"-","Check values!")</f>
        <v>-</v>
      </c>
      <c r="I113" s="1550"/>
      <c r="J113" s="534"/>
      <c r="K113" s="515"/>
      <c r="L113" s="515"/>
      <c r="M113" s="601"/>
      <c r="N113" s="515"/>
      <c r="O113" s="573"/>
      <c r="P113" s="1498"/>
      <c r="Q113" s="515"/>
    </row>
    <row r="114" spans="1:17" ht="15.75">
      <c r="A114" s="523">
        <f>'Appendix A'!$A$56</f>
        <v>26</v>
      </c>
      <c r="B114" s="524">
        <f>+B113+1</f>
        <v>84</v>
      </c>
      <c r="C114" s="547" t="s">
        <v>49</v>
      </c>
      <c r="D114" s="548" t="str">
        <f>IF(Toggle=Projection,"(line "&amp;B113&amp;")",IF(Toggle=True_up,"(sum lines "&amp;B112&amp;" &amp; "&amp;B113&amp;") /2","Set Toggle!"))</f>
        <v>(line 83)</v>
      </c>
      <c r="E114" s="549" t="str">
        <f>'Appendix A'!$E$56</f>
        <v>(Note N)</v>
      </c>
      <c r="F114" s="550" t="str">
        <f>Toggle</f>
        <v>Projection</v>
      </c>
      <c r="G114" s="551">
        <f>IF(Toggle=Projection,G113,IF(Toggle=True_up,AVERAGE(G112:G113),"Set Toggle!"))</f>
        <v>615054359.97000003</v>
      </c>
      <c r="H114" s="552" t="s">
        <v>804</v>
      </c>
      <c r="I114" s="514"/>
      <c r="J114" s="534"/>
      <c r="K114" s="515"/>
      <c r="L114" s="515"/>
      <c r="M114" s="601"/>
      <c r="N114" s="515"/>
      <c r="O114" s="602"/>
      <c r="P114" s="1498"/>
      <c r="Q114" s="515"/>
    </row>
    <row r="115" spans="1:17" ht="15.75">
      <c r="A115" s="523"/>
      <c r="B115" s="524"/>
      <c r="C115" s="535"/>
      <c r="D115" s="530"/>
      <c r="E115" s="530"/>
      <c r="F115" s="567"/>
      <c r="G115" s="557"/>
      <c r="H115" s="523"/>
      <c r="I115" s="514"/>
      <c r="J115" s="534"/>
      <c r="K115" s="515"/>
      <c r="L115" s="515"/>
      <c r="M115" s="601"/>
      <c r="N115" s="515"/>
      <c r="O115" s="573"/>
      <c r="P115" s="1498"/>
      <c r="Q115" s="515"/>
    </row>
    <row r="116" spans="1:17" ht="15.75">
      <c r="A116" s="523"/>
      <c r="B116" s="524"/>
      <c r="C116" s="525" t="s">
        <v>835</v>
      </c>
      <c r="D116" s="514" t="s">
        <v>787</v>
      </c>
      <c r="E116" s="514"/>
      <c r="F116" s="524" t="s">
        <v>789</v>
      </c>
      <c r="G116" s="596" t="s">
        <v>790</v>
      </c>
      <c r="H116" s="523"/>
      <c r="I116" s="1550"/>
      <c r="J116" s="534"/>
      <c r="K116" s="515"/>
      <c r="L116" s="515"/>
      <c r="M116" s="601"/>
      <c r="N116" s="515"/>
      <c r="O116" s="515"/>
      <c r="P116" s="603"/>
      <c r="Q116" s="515"/>
    </row>
    <row r="117" spans="1:17" ht="15.75">
      <c r="A117" s="523"/>
      <c r="B117" s="524">
        <f>+B114+1</f>
        <v>85</v>
      </c>
      <c r="C117" s="514" t="s">
        <v>791</v>
      </c>
      <c r="D117" s="530" t="s">
        <v>836</v>
      </c>
      <c r="E117" s="530"/>
      <c r="F117" s="531">
        <f>+F112</f>
        <v>2023</v>
      </c>
      <c r="G117" s="532">
        <v>5845480037.29</v>
      </c>
      <c r="H117" s="533"/>
      <c r="I117" s="1550"/>
      <c r="J117" s="534"/>
      <c r="K117" s="515"/>
      <c r="L117" s="515"/>
      <c r="M117" s="601"/>
      <c r="N117" s="515"/>
      <c r="O117" s="515"/>
      <c r="P117" s="603"/>
      <c r="Q117" s="515"/>
    </row>
    <row r="118" spans="1:17" ht="15.75">
      <c r="A118" s="523"/>
      <c r="B118" s="524">
        <f t="shared" ref="B118:B130" si="10">+B117+1</f>
        <v>86</v>
      </c>
      <c r="C118" s="535" t="s">
        <v>792</v>
      </c>
      <c r="D118" s="514" t="s">
        <v>793</v>
      </c>
      <c r="E118" s="514"/>
      <c r="F118" s="531">
        <f>+F117+1</f>
        <v>2024</v>
      </c>
      <c r="G118" s="532">
        <v>5887195331.9199991</v>
      </c>
      <c r="H118" s="523"/>
      <c r="I118" s="1550"/>
      <c r="J118" s="534"/>
      <c r="K118" s="515"/>
      <c r="L118" s="515"/>
      <c r="M118" s="601"/>
      <c r="N118" s="515"/>
      <c r="O118" s="515"/>
      <c r="P118" s="603"/>
      <c r="Q118" s="515"/>
    </row>
    <row r="119" spans="1:17" ht="15.75">
      <c r="A119" s="523"/>
      <c r="B119" s="524">
        <f t="shared" si="10"/>
        <v>87</v>
      </c>
      <c r="C119" s="535" t="s">
        <v>794</v>
      </c>
      <c r="D119" s="514" t="s">
        <v>793</v>
      </c>
      <c r="E119" s="514"/>
      <c r="F119" s="531">
        <f t="shared" ref="F119:F129" si="11">+F118</f>
        <v>2024</v>
      </c>
      <c r="G119" s="532">
        <v>5934867776.9800005</v>
      </c>
      <c r="H119" s="523"/>
      <c r="I119" s="1550"/>
      <c r="J119" s="534"/>
      <c r="K119" s="515"/>
      <c r="L119" s="515"/>
      <c r="M119" s="601"/>
      <c r="N119" s="515"/>
      <c r="O119" s="515"/>
      <c r="P119" s="603"/>
      <c r="Q119" s="515"/>
    </row>
    <row r="120" spans="1:17" ht="15.75">
      <c r="A120" s="523"/>
      <c r="B120" s="524">
        <f t="shared" si="10"/>
        <v>88</v>
      </c>
      <c r="C120" s="535" t="s">
        <v>795</v>
      </c>
      <c r="D120" s="514" t="s">
        <v>793</v>
      </c>
      <c r="E120" s="514"/>
      <c r="F120" s="531">
        <f t="shared" si="11"/>
        <v>2024</v>
      </c>
      <c r="G120" s="532">
        <v>5979240817.1899996</v>
      </c>
      <c r="H120" s="523"/>
      <c r="I120" s="1550"/>
      <c r="J120" s="534"/>
      <c r="K120" s="515"/>
      <c r="L120" s="515"/>
      <c r="M120" s="601"/>
      <c r="N120" s="515"/>
      <c r="O120" s="515"/>
      <c r="P120" s="603"/>
      <c r="Q120" s="515"/>
    </row>
    <row r="121" spans="1:17" ht="15.75">
      <c r="A121" s="523"/>
      <c r="B121" s="524">
        <f t="shared" si="10"/>
        <v>89</v>
      </c>
      <c r="C121" s="535" t="s">
        <v>796</v>
      </c>
      <c r="D121" s="514" t="s">
        <v>793</v>
      </c>
      <c r="E121" s="514"/>
      <c r="F121" s="531">
        <f t="shared" si="11"/>
        <v>2024</v>
      </c>
      <c r="G121" s="532">
        <v>6022556391.7400007</v>
      </c>
      <c r="H121" s="523"/>
      <c r="I121" s="1550"/>
      <c r="J121" s="534"/>
      <c r="K121" s="515"/>
      <c r="L121" s="515"/>
      <c r="M121" s="601"/>
      <c r="N121" s="515"/>
      <c r="O121" s="515"/>
      <c r="P121" s="603"/>
      <c r="Q121" s="515"/>
    </row>
    <row r="122" spans="1:17" ht="15.75">
      <c r="A122" s="523"/>
      <c r="B122" s="524">
        <f t="shared" si="10"/>
        <v>90</v>
      </c>
      <c r="C122" s="535" t="s">
        <v>797</v>
      </c>
      <c r="D122" s="514" t="s">
        <v>793</v>
      </c>
      <c r="E122" s="514"/>
      <c r="F122" s="531">
        <f t="shared" si="11"/>
        <v>2024</v>
      </c>
      <c r="G122" s="532">
        <v>6070342468.7399988</v>
      </c>
      <c r="H122" s="523"/>
      <c r="I122" s="1550"/>
      <c r="J122" s="534"/>
      <c r="K122" s="515"/>
      <c r="L122" s="515"/>
      <c r="M122" s="601"/>
      <c r="N122" s="515"/>
      <c r="O122" s="515"/>
      <c r="P122" s="603"/>
      <c r="Q122" s="515"/>
    </row>
    <row r="123" spans="1:17" ht="15.75">
      <c r="A123" s="523"/>
      <c r="B123" s="524">
        <f t="shared" si="10"/>
        <v>91</v>
      </c>
      <c r="C123" s="535" t="s">
        <v>798</v>
      </c>
      <c r="D123" s="514" t="s">
        <v>793</v>
      </c>
      <c r="E123" s="514"/>
      <c r="F123" s="531">
        <f t="shared" si="11"/>
        <v>2024</v>
      </c>
      <c r="G123" s="532">
        <v>6115461508.0799999</v>
      </c>
      <c r="H123" s="523"/>
      <c r="I123" s="1551"/>
      <c r="J123" s="534"/>
      <c r="K123" s="515"/>
      <c r="L123" s="515"/>
      <c r="M123" s="601"/>
      <c r="N123" s="515"/>
      <c r="O123" s="515"/>
      <c r="P123" s="603"/>
      <c r="Q123" s="515"/>
    </row>
    <row r="124" spans="1:17" ht="15.75">
      <c r="A124" s="523"/>
      <c r="B124" s="524">
        <f t="shared" si="10"/>
        <v>92</v>
      </c>
      <c r="C124" s="535" t="s">
        <v>799</v>
      </c>
      <c r="D124" s="514" t="s">
        <v>793</v>
      </c>
      <c r="E124" s="514"/>
      <c r="F124" s="531">
        <f t="shared" si="11"/>
        <v>2024</v>
      </c>
      <c r="G124" s="532">
        <v>6154428423.5100002</v>
      </c>
      <c r="H124" s="523"/>
      <c r="I124" s="1551"/>
      <c r="J124" s="534"/>
      <c r="K124" s="515"/>
      <c r="L124" s="515"/>
      <c r="M124" s="601"/>
      <c r="N124" s="515"/>
      <c r="O124" s="515"/>
      <c r="P124" s="1498"/>
      <c r="Q124" s="515"/>
    </row>
    <row r="125" spans="1:17" ht="15.75">
      <c r="A125" s="523"/>
      <c r="B125" s="524">
        <f t="shared" si="10"/>
        <v>93</v>
      </c>
      <c r="C125" s="535" t="s">
        <v>800</v>
      </c>
      <c r="D125" s="514" t="s">
        <v>793</v>
      </c>
      <c r="E125" s="514"/>
      <c r="F125" s="531">
        <f t="shared" si="11"/>
        <v>2024</v>
      </c>
      <c r="G125" s="532">
        <v>6201168507.7699995</v>
      </c>
      <c r="H125" s="523"/>
      <c r="I125" s="1551"/>
      <c r="J125" s="534"/>
      <c r="K125" s="515"/>
      <c r="L125" s="515"/>
      <c r="M125" s="601"/>
      <c r="N125" s="515"/>
      <c r="O125" s="515"/>
      <c r="P125" s="1498"/>
      <c r="Q125" s="515"/>
    </row>
    <row r="126" spans="1:17" ht="15.75">
      <c r="A126" s="523"/>
      <c r="B126" s="524">
        <f t="shared" si="10"/>
        <v>94</v>
      </c>
      <c r="C126" s="535" t="s">
        <v>801</v>
      </c>
      <c r="D126" s="514" t="s">
        <v>793</v>
      </c>
      <c r="E126" s="514"/>
      <c r="F126" s="531">
        <f t="shared" si="11"/>
        <v>2024</v>
      </c>
      <c r="G126" s="532">
        <v>6234522014.9499998</v>
      </c>
      <c r="H126" s="523"/>
      <c r="I126" s="1551"/>
      <c r="J126" s="534"/>
      <c r="K126" s="515"/>
      <c r="L126" s="515"/>
      <c r="M126" s="601"/>
      <c r="N126" s="515"/>
      <c r="O126" s="515"/>
      <c r="P126" s="1498"/>
      <c r="Q126" s="515"/>
    </row>
    <row r="127" spans="1:17" ht="15.75">
      <c r="A127" s="523"/>
      <c r="B127" s="524">
        <f t="shared" si="10"/>
        <v>95</v>
      </c>
      <c r="C127" s="535" t="s">
        <v>802</v>
      </c>
      <c r="D127" s="514" t="s">
        <v>793</v>
      </c>
      <c r="E127" s="514"/>
      <c r="F127" s="531">
        <f t="shared" si="11"/>
        <v>2024</v>
      </c>
      <c r="G127" s="532">
        <v>6280442657.7299995</v>
      </c>
      <c r="H127" s="523"/>
      <c r="I127" s="1551"/>
      <c r="J127" s="534"/>
      <c r="K127" s="515"/>
      <c r="L127" s="515"/>
      <c r="M127" s="601"/>
      <c r="N127" s="515"/>
      <c r="O127" s="515"/>
      <c r="P127" s="1498"/>
      <c r="Q127" s="515"/>
    </row>
    <row r="128" spans="1:17" ht="15.75">
      <c r="A128" s="523"/>
      <c r="B128" s="524">
        <f t="shared" si="10"/>
        <v>96</v>
      </c>
      <c r="C128" s="535" t="s">
        <v>803</v>
      </c>
      <c r="D128" s="514" t="s">
        <v>793</v>
      </c>
      <c r="E128" s="514"/>
      <c r="F128" s="531">
        <f t="shared" si="11"/>
        <v>2024</v>
      </c>
      <c r="G128" s="532">
        <v>6335977710.4099998</v>
      </c>
      <c r="H128" s="539"/>
      <c r="I128" s="1551"/>
      <c r="J128" s="534"/>
      <c r="K128" s="515"/>
      <c r="L128" s="515"/>
      <c r="M128" s="601"/>
      <c r="N128" s="515"/>
      <c r="O128" s="515"/>
      <c r="P128" s="1498"/>
      <c r="Q128" s="515"/>
    </row>
    <row r="129" spans="1:17" ht="15.75">
      <c r="A129" s="523"/>
      <c r="B129" s="524">
        <f t="shared" si="10"/>
        <v>97</v>
      </c>
      <c r="C129" s="542" t="s">
        <v>791</v>
      </c>
      <c r="D129" s="543" t="s">
        <v>837</v>
      </c>
      <c r="E129" s="543"/>
      <c r="F129" s="544">
        <f t="shared" si="11"/>
        <v>2024</v>
      </c>
      <c r="G129" s="532">
        <v>6374947056.3299999</v>
      </c>
      <c r="H129" s="533" t="str">
        <f>IF((INDEX(Inputs_EndYrBal,MATCH($D129,Inputs_FF1_Map,0))-G129)&lt;1,"-","Check values!")</f>
        <v>-</v>
      </c>
      <c r="I129" s="1551"/>
      <c r="J129" s="534"/>
      <c r="K129" s="515"/>
      <c r="L129" s="515"/>
      <c r="M129" s="601"/>
      <c r="N129" s="515"/>
      <c r="O129" s="515"/>
      <c r="P129" s="1498"/>
      <c r="Q129" s="515"/>
    </row>
    <row r="130" spans="1:17" ht="15.75">
      <c r="A130" s="523"/>
      <c r="B130" s="524">
        <f t="shared" si="10"/>
        <v>98</v>
      </c>
      <c r="C130" s="547" t="s">
        <v>838</v>
      </c>
      <c r="D130" s="548" t="str">
        <f>IF(Toggle=Projection,"(line "&amp;B129&amp;")",IF(Toggle=True_up,"(sum lines "&amp;B117&amp;"-"&amp;B129&amp;") /13","Set Toggle!"))</f>
        <v>(line 97)</v>
      </c>
      <c r="E130" s="514"/>
      <c r="F130" s="550" t="str">
        <f>Toggle</f>
        <v>Projection</v>
      </c>
      <c r="G130" s="1468">
        <f>IF(Toggle=Projection,G129,IF(Toggle=True_up,AVERAGE(G117:G129),"Set Toggle!"))</f>
        <v>6374947056.3299999</v>
      </c>
      <c r="H130" s="552"/>
      <c r="I130" s="514"/>
      <c r="J130" s="534"/>
      <c r="K130" s="515"/>
      <c r="L130" s="515"/>
      <c r="M130" s="601"/>
      <c r="N130" s="515"/>
      <c r="O130" s="515"/>
      <c r="P130" s="1498"/>
      <c r="Q130" s="515"/>
    </row>
    <row r="131" spans="1:17" ht="15.75">
      <c r="A131" s="523"/>
      <c r="B131" s="524"/>
      <c r="C131" s="535"/>
      <c r="D131" s="514"/>
      <c r="E131" s="514"/>
      <c r="F131" s="556"/>
      <c r="G131" s="557"/>
      <c r="H131" s="539"/>
      <c r="I131" s="514"/>
      <c r="J131" s="534"/>
      <c r="K131" s="515"/>
      <c r="L131" s="515"/>
      <c r="M131" s="601"/>
      <c r="N131" s="515"/>
      <c r="O131" s="515"/>
      <c r="P131" s="1498"/>
      <c r="Q131" s="515"/>
    </row>
    <row r="132" spans="1:17" ht="15.75">
      <c r="A132" s="571">
        <f>+'Appendix A'!A23</f>
        <v>7</v>
      </c>
      <c r="B132" s="524">
        <f>+B130+1</f>
        <v>99</v>
      </c>
      <c r="C132" s="525" t="str">
        <f>'Appendix A'!C23</f>
        <v>Accumulated Depreciation (Total Electric Plant)</v>
      </c>
      <c r="D132" s="514" t="str">
        <f>"(sum lines "&amp;B88&amp;", "&amp;B104&amp;", "&amp;B114&amp;", &amp; "&amp;B130&amp;")"</f>
        <v>(sum lines 64, 78, 84, &amp; 98)</v>
      </c>
      <c r="E132" s="549" t="str">
        <f>'Appendix A'!$E$23</f>
        <v>(Note M)</v>
      </c>
      <c r="F132" s="550" t="str">
        <f>Toggle</f>
        <v>Projection</v>
      </c>
      <c r="G132" s="604">
        <f>SUM(G130,G114,G104,G88)</f>
        <v>12839089471.450001</v>
      </c>
      <c r="H132" s="552" t="s">
        <v>804</v>
      </c>
      <c r="I132" s="514"/>
      <c r="J132" s="534"/>
      <c r="K132" s="515"/>
      <c r="L132" s="515"/>
      <c r="M132" s="601"/>
      <c r="N132" s="515"/>
      <c r="O132" s="515"/>
      <c r="P132" s="1498"/>
      <c r="Q132" s="515"/>
    </row>
    <row r="133" spans="1:17" ht="15.75">
      <c r="A133" s="523"/>
      <c r="B133" s="524"/>
      <c r="C133" s="547"/>
      <c r="D133" s="514"/>
      <c r="E133" s="514"/>
      <c r="F133" s="567"/>
      <c r="G133" s="565"/>
      <c r="H133" s="539"/>
      <c r="I133" s="514"/>
      <c r="J133" s="534"/>
      <c r="K133" s="515"/>
      <c r="L133" s="515"/>
      <c r="M133" s="601"/>
      <c r="N133" s="515"/>
      <c r="O133" s="515"/>
      <c r="P133" s="1498"/>
      <c r="Q133" s="515"/>
    </row>
    <row r="134" spans="1:17" ht="15.75">
      <c r="A134" s="523"/>
      <c r="B134" s="524">
        <f>+B132+1</f>
        <v>100</v>
      </c>
      <c r="C134" s="525" t="s">
        <v>28</v>
      </c>
      <c r="D134" s="530" t="str">
        <f>"(sum lines "&amp;B88&amp;", "&amp;B104&amp;", "&amp;B109&amp;", "&amp;B114&amp;", &amp; "&amp;B130&amp;")"</f>
        <v>(sum lines 64, 78, 81, 84, &amp; 98)</v>
      </c>
      <c r="E134" s="530"/>
      <c r="F134" s="550" t="str">
        <f>Toggle</f>
        <v>Projection</v>
      </c>
      <c r="G134" s="605">
        <f>SUM(G130,G114,G104,G88,G109)</f>
        <v>13682434701.41</v>
      </c>
      <c r="H134" s="576"/>
      <c r="I134" s="514"/>
      <c r="J134" s="534"/>
      <c r="K134" s="515"/>
      <c r="L134" s="515"/>
      <c r="M134" s="601"/>
      <c r="N134" s="515"/>
      <c r="O134" s="515"/>
      <c r="P134" s="1498"/>
      <c r="Q134" s="515"/>
    </row>
    <row r="135" spans="1:17" ht="16.5" thickBot="1">
      <c r="A135" s="583"/>
      <c r="B135" s="584"/>
      <c r="C135" s="585"/>
      <c r="D135" s="586"/>
      <c r="E135" s="586"/>
      <c r="F135" s="587"/>
      <c r="G135" s="588"/>
      <c r="H135" s="589"/>
      <c r="I135" s="584"/>
      <c r="J135" s="584"/>
      <c r="K135" s="590"/>
      <c r="L135" s="590"/>
      <c r="M135" s="591"/>
      <c r="N135" s="515"/>
      <c r="O135" s="515"/>
      <c r="P135" s="1498"/>
      <c r="Q135" s="515"/>
    </row>
    <row r="136" spans="1:17" ht="15.75">
      <c r="A136" s="606"/>
      <c r="B136" s="606"/>
      <c r="C136" s="607"/>
      <c r="D136" s="608"/>
      <c r="E136" s="608"/>
      <c r="F136" s="609"/>
      <c r="G136" s="607"/>
      <c r="H136" s="610"/>
      <c r="I136" s="606"/>
      <c r="J136" s="606"/>
      <c r="K136" s="611"/>
      <c r="L136" s="611"/>
      <c r="M136" s="611"/>
      <c r="N136" s="515"/>
      <c r="O136" s="515"/>
      <c r="P136" s="1498"/>
      <c r="Q136" s="515"/>
    </row>
    <row r="137" spans="1:17" ht="15.75">
      <c r="A137" s="524"/>
      <c r="B137" s="524"/>
      <c r="C137" s="535"/>
      <c r="D137" s="514"/>
      <c r="E137" s="514"/>
      <c r="F137" s="556"/>
      <c r="G137" s="535"/>
      <c r="H137" s="575"/>
      <c r="I137" s="524"/>
      <c r="J137" s="524"/>
      <c r="K137" s="540"/>
      <c r="L137" s="540"/>
      <c r="M137" s="540"/>
      <c r="N137" s="515"/>
      <c r="O137" s="515"/>
      <c r="P137" s="1498"/>
      <c r="Q137" s="515"/>
    </row>
    <row r="138" spans="1:17" ht="16.5" thickBot="1">
      <c r="A138" s="612" t="s">
        <v>839</v>
      </c>
      <c r="B138" s="584"/>
      <c r="C138" s="585"/>
      <c r="D138" s="586"/>
      <c r="E138" s="586"/>
      <c r="F138" s="587"/>
      <c r="G138" s="585"/>
      <c r="H138" s="613"/>
      <c r="I138" s="584"/>
      <c r="J138" s="584"/>
      <c r="K138" s="590"/>
      <c r="L138" s="590"/>
      <c r="M138" s="590"/>
      <c r="N138" s="515"/>
      <c r="O138" s="515"/>
      <c r="P138" s="1498"/>
      <c r="Q138" s="515"/>
    </row>
    <row r="139" spans="1:17" ht="15.75">
      <c r="A139" s="1949" t="s">
        <v>840</v>
      </c>
      <c r="B139" s="1950"/>
      <c r="C139" s="1950"/>
      <c r="D139" s="1950"/>
      <c r="E139" s="1950"/>
      <c r="F139" s="1950"/>
      <c r="G139" s="1951"/>
      <c r="H139" s="614" t="s">
        <v>841</v>
      </c>
      <c r="I139" s="593"/>
      <c r="J139" s="593"/>
      <c r="K139" s="593"/>
      <c r="L139" s="593"/>
      <c r="M139" s="615"/>
      <c r="N139" s="515"/>
      <c r="O139" s="515"/>
      <c r="P139" s="1498"/>
      <c r="Q139" s="515"/>
    </row>
    <row r="140" spans="1:17" ht="15.75">
      <c r="A140" s="571"/>
      <c r="B140" s="524"/>
      <c r="C140" s="535"/>
      <c r="D140" s="514"/>
      <c r="E140" s="514"/>
      <c r="F140" s="556"/>
      <c r="G140" s="616"/>
      <c r="H140" s="575"/>
      <c r="I140" s="524"/>
      <c r="J140" s="524"/>
      <c r="K140" s="540"/>
      <c r="L140" s="540"/>
      <c r="M140" s="528"/>
      <c r="N140" s="515"/>
      <c r="O140" s="515"/>
      <c r="P140" s="1498"/>
      <c r="Q140" s="515"/>
    </row>
    <row r="141" spans="1:17" ht="15.75">
      <c r="A141" s="617"/>
      <c r="B141" s="524"/>
      <c r="C141" s="2" t="s">
        <v>69</v>
      </c>
      <c r="D141" s="2"/>
      <c r="E141" s="2"/>
      <c r="F141" s="2" t="s">
        <v>842</v>
      </c>
      <c r="G141" s="618" t="s">
        <v>843</v>
      </c>
      <c r="H141" s="619">
        <f>INDEX(Inputs_EndYrBal_prior,MATCH(G141,Inputs_FF1_Map,0))</f>
        <v>0</v>
      </c>
      <c r="I141" s="524"/>
      <c r="J141" s="524"/>
      <c r="K141" s="540"/>
      <c r="L141" s="540"/>
      <c r="M141" s="528"/>
      <c r="N141" s="515"/>
      <c r="O141" s="515"/>
      <c r="P141" s="1498" t="s">
        <v>844</v>
      </c>
      <c r="Q141" s="515"/>
    </row>
    <row r="142" spans="1:17" ht="15.75">
      <c r="A142" s="571"/>
      <c r="B142" s="524"/>
      <c r="C142" s="34"/>
      <c r="D142" s="34"/>
      <c r="E142" s="34"/>
      <c r="F142" s="71" t="s">
        <v>845</v>
      </c>
      <c r="G142" s="620" t="s">
        <v>843</v>
      </c>
      <c r="H142" s="619">
        <f>INDEX(Inputs_EndYrBal,MATCH(G142,Inputs_FF1_Map,0))</f>
        <v>0</v>
      </c>
      <c r="I142" s="524"/>
      <c r="J142" s="524"/>
      <c r="K142" s="540"/>
      <c r="L142" s="540"/>
      <c r="M142" s="528"/>
      <c r="N142" s="515"/>
      <c r="O142" s="515"/>
      <c r="P142" s="1498"/>
      <c r="Q142" s="515"/>
    </row>
    <row r="143" spans="1:17" ht="15.75">
      <c r="A143" s="571">
        <f>+'Appendix A'!A88</f>
        <v>39</v>
      </c>
      <c r="B143" s="524"/>
      <c r="C143" s="34"/>
      <c r="D143" s="515"/>
      <c r="E143" s="549" t="str">
        <f>'Appendix A'!$E$88</f>
        <v>(Note N)</v>
      </c>
      <c r="F143" s="17" t="s">
        <v>804</v>
      </c>
      <c r="G143" s="621" t="str">
        <f>Toggle</f>
        <v>Projection</v>
      </c>
      <c r="H143" s="622">
        <f>IF(Toggle=Projection,H142,IF(Toggle=True_up,AVERAGE(H141:H142),"Set Toggle!"))</f>
        <v>0</v>
      </c>
      <c r="I143" s="548" t="str">
        <f>IF(Toggle=Projection,"current end-of-year balance",IF(Toggle=True_up,"beg-of-year and end-of-year average ","Set Toggle!"))</f>
        <v>current end-of-year balance</v>
      </c>
      <c r="J143" s="623"/>
      <c r="K143" s="540"/>
      <c r="L143" s="540"/>
      <c r="M143" s="528"/>
      <c r="N143" s="515"/>
      <c r="O143" s="515"/>
      <c r="P143" s="1498"/>
      <c r="Q143" s="515"/>
    </row>
    <row r="144" spans="1:17" ht="15.75">
      <c r="A144" s="571"/>
      <c r="B144" s="524"/>
      <c r="C144" s="34"/>
      <c r="D144" s="515"/>
      <c r="E144" s="524"/>
      <c r="F144" s="2"/>
      <c r="G144" s="624"/>
      <c r="H144" s="625"/>
      <c r="I144" s="524"/>
      <c r="J144" s="515"/>
      <c r="K144" s="540"/>
      <c r="L144" s="540"/>
      <c r="M144" s="528"/>
      <c r="N144" s="515"/>
      <c r="O144" s="515"/>
      <c r="P144" s="1498"/>
      <c r="Q144" s="515"/>
    </row>
    <row r="145" spans="1:17" ht="15.75">
      <c r="A145" s="617"/>
      <c r="B145" s="524"/>
      <c r="C145" s="34" t="s">
        <v>71</v>
      </c>
      <c r="D145" s="515"/>
      <c r="E145" s="524"/>
      <c r="F145" s="2" t="s">
        <v>842</v>
      </c>
      <c r="G145" s="624" t="s">
        <v>846</v>
      </c>
      <c r="H145" s="619">
        <f>INDEX(Inputs_EndYrBal_prior,MATCH(G145,Inputs_FF1_Map,0))</f>
        <v>336602638</v>
      </c>
      <c r="I145" s="524"/>
      <c r="J145" s="515"/>
      <c r="K145" s="540"/>
      <c r="L145" s="540"/>
      <c r="M145" s="528"/>
      <c r="N145" s="515"/>
      <c r="O145" s="515"/>
      <c r="P145" s="1498" t="s">
        <v>844</v>
      </c>
      <c r="Q145" s="515"/>
    </row>
    <row r="146" spans="1:17" ht="15.75">
      <c r="A146" s="571"/>
      <c r="B146" s="524"/>
      <c r="C146" s="34"/>
      <c r="D146" s="515"/>
      <c r="E146" s="524"/>
      <c r="F146" s="71" t="s">
        <v>845</v>
      </c>
      <c r="G146" s="626" t="s">
        <v>846</v>
      </c>
      <c r="H146" s="619">
        <f>INDEX(Inputs_EndYrBal,MATCH(G146,Inputs_FF1_Map,0))</f>
        <v>422879240</v>
      </c>
      <c r="I146" s="524"/>
      <c r="J146" s="515"/>
      <c r="K146" s="540"/>
      <c r="L146" s="540"/>
      <c r="M146" s="528"/>
      <c r="N146" s="515"/>
      <c r="O146" s="515"/>
      <c r="P146" s="1498" t="s">
        <v>844</v>
      </c>
      <c r="Q146" s="515"/>
    </row>
    <row r="147" spans="1:17" ht="15.75">
      <c r="A147" s="571">
        <f>+'Appendix A'!A91</f>
        <v>42</v>
      </c>
      <c r="B147" s="524"/>
      <c r="C147" s="34"/>
      <c r="D147" s="515"/>
      <c r="E147" s="549" t="str">
        <f>'Appendix A'!$E$91</f>
        <v>(Note N)</v>
      </c>
      <c r="F147" s="17" t="s">
        <v>804</v>
      </c>
      <c r="G147" s="621" t="str">
        <f>Toggle</f>
        <v>Projection</v>
      </c>
      <c r="H147" s="622">
        <f>IF(Toggle=Projection,H146,IF(Toggle=True_up,AVERAGE(H145:H146),"Set Toggle!"))</f>
        <v>422879240</v>
      </c>
      <c r="I147" s="548" t="str">
        <f>IF(Toggle=Projection,"current end-of-year balance",IF(Toggle=True_up,"beg-of-year and end-of-year average ","Set Toggle!"))</f>
        <v>current end-of-year balance</v>
      </c>
      <c r="J147" s="623"/>
      <c r="K147" s="540"/>
      <c r="L147" s="540"/>
      <c r="M147" s="528"/>
      <c r="N147" s="515"/>
      <c r="O147" s="515"/>
      <c r="P147" s="1498"/>
      <c r="Q147" s="515"/>
    </row>
    <row r="148" spans="1:17" ht="15.75">
      <c r="A148" s="571"/>
      <c r="B148" s="524"/>
      <c r="C148" s="34"/>
      <c r="D148" s="515"/>
      <c r="E148" s="524"/>
      <c r="F148" s="2"/>
      <c r="G148" s="624"/>
      <c r="H148" s="625"/>
      <c r="I148" s="627"/>
      <c r="J148" s="515"/>
      <c r="K148" s="540"/>
      <c r="L148" s="540"/>
      <c r="M148" s="528"/>
      <c r="N148" s="515"/>
      <c r="O148" s="515"/>
      <c r="P148" s="1498"/>
      <c r="Q148" s="515"/>
    </row>
    <row r="149" spans="1:17" ht="15.75">
      <c r="A149" s="617"/>
      <c r="B149" s="524"/>
      <c r="C149" s="34" t="s">
        <v>73</v>
      </c>
      <c r="D149" s="515"/>
      <c r="E149" s="524"/>
      <c r="F149" s="2" t="s">
        <v>842</v>
      </c>
      <c r="G149" s="618" t="s">
        <v>847</v>
      </c>
      <c r="H149" s="619">
        <f>INDEX(Inputs_EndYrBal_prior,MATCH(G149,Inputs_FF1_Map,0))</f>
        <v>1657571</v>
      </c>
      <c r="I149" s="524"/>
      <c r="J149" s="515"/>
      <c r="K149" s="540"/>
      <c r="L149" s="540"/>
      <c r="M149" s="528"/>
      <c r="N149" s="515"/>
      <c r="O149" s="515"/>
      <c r="P149" s="1498"/>
      <c r="Q149" s="515"/>
    </row>
    <row r="150" spans="1:17" ht="15.75">
      <c r="A150" s="571"/>
      <c r="B150" s="524"/>
      <c r="C150" s="535"/>
      <c r="D150" s="515"/>
      <c r="E150" s="524"/>
      <c r="F150" s="71" t="s">
        <v>845</v>
      </c>
      <c r="G150" s="620" t="s">
        <v>847</v>
      </c>
      <c r="H150" s="619">
        <f>INDEX(Inputs_EndYrBal,MATCH(G150,Inputs_FF1_Map,0))</f>
        <v>1871312</v>
      </c>
      <c r="I150" s="524"/>
      <c r="J150" s="515"/>
      <c r="K150" s="540"/>
      <c r="L150" s="540"/>
      <c r="M150" s="528"/>
      <c r="N150" s="515"/>
      <c r="O150" s="515"/>
      <c r="P150" s="1498" t="s">
        <v>844</v>
      </c>
      <c r="Q150" s="515"/>
    </row>
    <row r="151" spans="1:17" ht="15.75">
      <c r="A151" s="571">
        <f>+'Appendix A'!A94</f>
        <v>45</v>
      </c>
      <c r="B151" s="524"/>
      <c r="C151" s="535"/>
      <c r="D151" s="515"/>
      <c r="E151" s="549" t="str">
        <f>'Appendix A'!$E$94</f>
        <v>(Note N)</v>
      </c>
      <c r="F151" s="17" t="s">
        <v>804</v>
      </c>
      <c r="G151" s="621" t="str">
        <f>Toggle</f>
        <v>Projection</v>
      </c>
      <c r="H151" s="622">
        <f>IF(Toggle=Projection,H150,IF(Toggle=True_up,AVERAGE(H149:H150),"Set Toggle!"))</f>
        <v>1871312</v>
      </c>
      <c r="I151" s="548" t="str">
        <f>IF(Toggle=Projection,"current end-of-year balance",IF(Toggle=True_up,"beg-of-year and end-of-year average ","Set Toggle!"))</f>
        <v>current end-of-year balance</v>
      </c>
      <c r="J151" s="623"/>
      <c r="K151" s="540"/>
      <c r="L151" s="540"/>
      <c r="M151" s="528"/>
      <c r="N151" s="515"/>
      <c r="O151" s="515"/>
      <c r="P151" s="1498" t="s">
        <v>844</v>
      </c>
      <c r="Q151" s="515"/>
    </row>
    <row r="152" spans="1:17" ht="16.5" thickBot="1">
      <c r="A152" s="583"/>
      <c r="B152" s="584"/>
      <c r="C152" s="585"/>
      <c r="D152" s="586"/>
      <c r="E152" s="586"/>
      <c r="F152" s="155"/>
      <c r="G152" s="588"/>
      <c r="H152" s="613"/>
      <c r="I152" s="584"/>
      <c r="J152" s="584"/>
      <c r="K152" s="590"/>
      <c r="L152" s="590"/>
      <c r="M152" s="591"/>
      <c r="N152" s="515"/>
      <c r="O152" s="515"/>
      <c r="P152" s="1498"/>
      <c r="Q152" s="515"/>
    </row>
    <row r="153" spans="1:17">
      <c r="A153" s="628"/>
      <c r="B153" s="628"/>
      <c r="C153" s="629"/>
      <c r="D153" s="515"/>
      <c r="E153" s="515"/>
      <c r="F153" s="630"/>
      <c r="G153" s="629"/>
      <c r="H153" s="631"/>
      <c r="I153" s="628"/>
      <c r="J153" s="628"/>
      <c r="K153" s="632"/>
      <c r="L153" s="632"/>
      <c r="M153" s="515"/>
      <c r="N153" s="515"/>
      <c r="O153" s="515"/>
      <c r="P153" s="1498"/>
      <c r="Q153" s="515"/>
    </row>
    <row r="154" spans="1:17" ht="16.5" thickBot="1">
      <c r="A154" s="612" t="s">
        <v>60</v>
      </c>
      <c r="B154" s="2"/>
      <c r="C154" s="2"/>
      <c r="D154" s="2"/>
      <c r="E154" s="2"/>
      <c r="F154" s="2"/>
      <c r="G154" s="2"/>
      <c r="H154" s="2"/>
      <c r="I154" s="2"/>
      <c r="J154" s="2"/>
      <c r="K154" s="2"/>
      <c r="L154" s="2"/>
      <c r="M154" s="2"/>
      <c r="N154" s="2"/>
      <c r="O154" s="2"/>
      <c r="P154" s="1497"/>
      <c r="Q154" s="2"/>
    </row>
    <row r="155" spans="1:17" ht="30.75">
      <c r="A155" s="1952" t="s">
        <v>840</v>
      </c>
      <c r="B155" s="1953"/>
      <c r="C155" s="1953"/>
      <c r="D155" s="1953"/>
      <c r="E155" s="1953"/>
      <c r="F155" s="1953"/>
      <c r="G155" s="1954"/>
      <c r="H155" s="614" t="s">
        <v>841</v>
      </c>
      <c r="I155" s="614" t="s">
        <v>848</v>
      </c>
      <c r="J155" s="633" t="s">
        <v>849</v>
      </c>
      <c r="K155" s="1955" t="s">
        <v>850</v>
      </c>
      <c r="L155" s="1955"/>
      <c r="M155" s="1956"/>
      <c r="N155" s="2"/>
      <c r="O155" s="2"/>
      <c r="P155" s="1497"/>
      <c r="Q155" s="2"/>
    </row>
    <row r="156" spans="1:17" ht="15.75">
      <c r="A156" s="634"/>
      <c r="B156" s="98"/>
      <c r="C156" s="34"/>
      <c r="D156" s="2"/>
      <c r="E156" s="2"/>
      <c r="F156" s="61"/>
      <c r="G156" s="635"/>
      <c r="H156" s="636"/>
      <c r="I156" s="2"/>
      <c r="J156" s="37"/>
      <c r="K156" s="637"/>
      <c r="L156" s="637"/>
      <c r="M156" s="638"/>
      <c r="N156" s="2"/>
      <c r="O156" s="2"/>
      <c r="P156" s="1497"/>
      <c r="Q156" s="2"/>
    </row>
    <row r="157" spans="1:17" ht="15.75">
      <c r="A157" s="639"/>
      <c r="B157" s="97" t="s">
        <v>780</v>
      </c>
      <c r="C157" s="34"/>
      <c r="D157" s="2"/>
      <c r="E157" s="2"/>
      <c r="F157" s="61"/>
      <c r="G157" s="640"/>
      <c r="H157" s="636"/>
      <c r="I157" s="641" t="str">
        <f>'Appendix A'!B33</f>
        <v>Net Plant Allocator</v>
      </c>
      <c r="J157" s="37"/>
      <c r="K157" s="2"/>
      <c r="L157" s="2"/>
      <c r="M157" s="635"/>
      <c r="N157" s="2"/>
      <c r="O157" s="2"/>
      <c r="P157" s="1497"/>
      <c r="Q157" s="2"/>
    </row>
    <row r="158" spans="1:17" ht="15.75">
      <c r="A158" s="634">
        <f>+'Appendix A'!A234</f>
        <v>133</v>
      </c>
      <c r="B158" s="97"/>
      <c r="C158" s="34" t="s">
        <v>851</v>
      </c>
      <c r="D158" s="2"/>
      <c r="E158" s="2"/>
      <c r="F158" s="61"/>
      <c r="G158" s="642" t="s">
        <v>852</v>
      </c>
      <c r="H158" s="619">
        <f>INDEX(Inputs_EndYrBal,MATCH(G158,Inputs_FF1_Map,0))</f>
        <v>-471299</v>
      </c>
      <c r="I158" s="643">
        <f>Allocator.net.plant</f>
        <v>0.37582955585006861</v>
      </c>
      <c r="J158" s="644">
        <f>H158*I158</f>
        <v>-177128.0938425815</v>
      </c>
      <c r="K158" s="1608"/>
      <c r="L158" s="2"/>
      <c r="M158" s="635"/>
      <c r="N158" s="2"/>
      <c r="O158" s="2"/>
      <c r="P158" s="1499"/>
      <c r="Q158" s="2"/>
    </row>
    <row r="159" spans="1:17" ht="15.75">
      <c r="A159" s="634"/>
      <c r="B159" s="97"/>
      <c r="C159" s="34"/>
      <c r="D159" s="2"/>
      <c r="E159" s="2"/>
      <c r="F159" s="61"/>
      <c r="G159" s="645"/>
      <c r="H159" s="92"/>
      <c r="I159" s="643"/>
      <c r="J159" s="646"/>
      <c r="K159" s="2"/>
      <c r="L159" s="2"/>
      <c r="M159" s="635"/>
      <c r="N159" s="2"/>
      <c r="O159" s="2"/>
      <c r="P159" s="1497"/>
      <c r="Q159" s="2"/>
    </row>
    <row r="160" spans="1:17" ht="15.75">
      <c r="A160" s="634"/>
      <c r="B160" s="97" t="s">
        <v>853</v>
      </c>
      <c r="C160" s="34"/>
      <c r="D160" s="2"/>
      <c r="E160" s="2"/>
      <c r="F160" s="61"/>
      <c r="G160" s="645"/>
      <c r="H160" s="92"/>
      <c r="I160" s="643"/>
      <c r="J160" s="646"/>
      <c r="K160" s="2"/>
      <c r="L160" s="2"/>
      <c r="M160" s="635"/>
      <c r="N160" s="2"/>
      <c r="O160" s="2"/>
      <c r="P160" s="1497"/>
      <c r="Q160" s="2"/>
    </row>
    <row r="161" spans="1:17" ht="15.75">
      <c r="A161" s="634"/>
      <c r="B161" s="97"/>
      <c r="C161" s="34" t="s">
        <v>854</v>
      </c>
      <c r="D161" s="2"/>
      <c r="E161" s="2"/>
      <c r="F161" s="61"/>
      <c r="G161" s="645"/>
      <c r="H161" s="92"/>
      <c r="I161" s="643"/>
      <c r="J161" s="646"/>
      <c r="K161" s="2"/>
      <c r="L161" s="2"/>
      <c r="M161" s="635"/>
      <c r="N161" s="2"/>
      <c r="O161" s="2"/>
      <c r="P161" s="1497"/>
      <c r="Q161" s="2"/>
    </row>
    <row r="162" spans="1:17" ht="15.75">
      <c r="A162" s="634"/>
      <c r="B162" s="97"/>
      <c r="C162" s="34"/>
      <c r="D162" s="2"/>
      <c r="E162" s="2"/>
      <c r="F162" s="98" t="s">
        <v>855</v>
      </c>
      <c r="G162" s="647" t="s">
        <v>856</v>
      </c>
      <c r="H162" s="1805">
        <v>16629</v>
      </c>
      <c r="I162" s="1804"/>
      <c r="J162" s="646"/>
      <c r="K162" s="648"/>
      <c r="L162" s="2"/>
      <c r="M162" s="635"/>
      <c r="N162" s="2"/>
      <c r="O162" s="2"/>
      <c r="P162" s="1499"/>
      <c r="Q162" s="2"/>
    </row>
    <row r="163" spans="1:17" ht="15.75">
      <c r="A163" s="634"/>
      <c r="B163" s="97"/>
      <c r="C163" s="2"/>
      <c r="D163" s="2"/>
      <c r="E163" s="2"/>
      <c r="F163" s="98" t="s">
        <v>857</v>
      </c>
      <c r="G163" s="647" t="s">
        <v>856</v>
      </c>
      <c r="H163" s="1805">
        <v>13629</v>
      </c>
      <c r="I163" s="1802"/>
      <c r="J163" s="2"/>
      <c r="K163" s="648"/>
      <c r="L163" s="2"/>
      <c r="M163" s="635"/>
      <c r="N163" s="2"/>
      <c r="O163" s="2"/>
      <c r="P163" s="1499"/>
      <c r="Q163" s="2"/>
    </row>
    <row r="164" spans="1:17" ht="15.75">
      <c r="A164" s="634">
        <f>'Appendix A'!$A$76</f>
        <v>35</v>
      </c>
      <c r="B164" s="97"/>
      <c r="C164" s="34" t="s">
        <v>854</v>
      </c>
      <c r="D164" s="2"/>
      <c r="E164" s="2"/>
      <c r="F164" s="61"/>
      <c r="G164" s="649" t="s">
        <v>858</v>
      </c>
      <c r="H164" s="650">
        <f>AVERAGE(H162:H163)</f>
        <v>15129</v>
      </c>
      <c r="I164" s="651">
        <f>Allocator.net.plant</f>
        <v>0.37582955585006861</v>
      </c>
      <c r="J164" s="644">
        <f>H164*I164</f>
        <v>5685.9253504556882</v>
      </c>
      <c r="K164" s="2" t="s">
        <v>859</v>
      </c>
      <c r="L164" s="2"/>
      <c r="M164" s="635"/>
      <c r="N164" s="2"/>
      <c r="O164" s="2"/>
      <c r="P164" s="1497"/>
      <c r="Q164" s="2"/>
    </row>
    <row r="165" spans="1:17" ht="16.5" thickBot="1">
      <c r="A165" s="652"/>
      <c r="B165" s="653"/>
      <c r="C165" s="654"/>
      <c r="D165" s="154"/>
      <c r="E165" s="154"/>
      <c r="F165" s="655"/>
      <c r="G165" s="656"/>
      <c r="H165" s="657"/>
      <c r="I165" s="658"/>
      <c r="J165" s="658"/>
      <c r="K165" s="1944"/>
      <c r="L165" s="1944"/>
      <c r="M165" s="1945"/>
      <c r="N165" s="2"/>
      <c r="O165" s="2"/>
      <c r="P165" s="1497"/>
      <c r="Q165" s="2"/>
    </row>
    <row r="166" spans="1:17" ht="15.75">
      <c r="A166" s="2"/>
      <c r="B166" s="2"/>
      <c r="C166" s="2"/>
      <c r="D166" s="2"/>
      <c r="E166" s="2"/>
      <c r="F166" s="2"/>
      <c r="G166" s="2"/>
      <c r="H166" s="2"/>
      <c r="I166" s="2"/>
      <c r="J166" s="2"/>
      <c r="K166" s="2"/>
      <c r="L166" s="2"/>
      <c r="M166" s="2"/>
      <c r="N166" s="2"/>
      <c r="O166" s="2"/>
      <c r="P166" s="1497"/>
      <c r="Q166" s="2"/>
    </row>
    <row r="167" spans="1:17" ht="16.5" thickBot="1">
      <c r="A167" s="612" t="s">
        <v>860</v>
      </c>
      <c r="B167" s="2"/>
      <c r="C167" s="2"/>
      <c r="D167" s="2"/>
      <c r="E167" s="2"/>
      <c r="F167" s="2"/>
      <c r="G167" s="2"/>
      <c r="H167" s="2"/>
      <c r="I167" s="2"/>
      <c r="J167" s="2"/>
      <c r="K167" s="2"/>
      <c r="L167" s="2"/>
      <c r="M167" s="2"/>
      <c r="N167" s="2"/>
      <c r="O167" s="2"/>
      <c r="P167" s="1497"/>
      <c r="Q167" s="2"/>
    </row>
    <row r="168" spans="1:17" ht="30.75">
      <c r="A168" s="1952" t="s">
        <v>840</v>
      </c>
      <c r="B168" s="1953"/>
      <c r="C168" s="1953"/>
      <c r="D168" s="1953"/>
      <c r="E168" s="1953"/>
      <c r="F168" s="1953"/>
      <c r="G168" s="1954"/>
      <c r="H168" s="614" t="s">
        <v>841</v>
      </c>
      <c r="I168" s="614" t="s">
        <v>329</v>
      </c>
      <c r="J168" s="614" t="s">
        <v>861</v>
      </c>
      <c r="K168" s="659" t="s">
        <v>850</v>
      </c>
      <c r="L168" s="659"/>
      <c r="M168" s="660"/>
      <c r="N168" s="2"/>
      <c r="O168" s="2"/>
      <c r="P168" s="1497"/>
      <c r="Q168" s="2"/>
    </row>
    <row r="169" spans="1:17" ht="15.75">
      <c r="A169" s="639"/>
      <c r="B169" s="97" t="str">
        <f>+'Appendix A'!C48</f>
        <v>Land Held for Future Use</v>
      </c>
      <c r="C169" s="2"/>
      <c r="D169" s="61"/>
      <c r="E169" s="61"/>
      <c r="F169" s="2"/>
      <c r="G169" s="649"/>
      <c r="H169" s="661"/>
      <c r="I169" s="2"/>
      <c r="J169" s="2"/>
      <c r="K169" s="2"/>
      <c r="L169" s="2"/>
      <c r="M169" s="662"/>
      <c r="N169" s="2"/>
      <c r="O169" s="2"/>
      <c r="P169" s="1497"/>
      <c r="Q169" s="2"/>
    </row>
    <row r="170" spans="1:17" ht="15.75">
      <c r="A170" s="639"/>
      <c r="B170" s="97"/>
      <c r="C170" s="2"/>
      <c r="D170" s="61"/>
      <c r="E170" s="61"/>
      <c r="F170" s="2" t="s">
        <v>842</v>
      </c>
      <c r="G170" s="618" t="s">
        <v>862</v>
      </c>
      <c r="H170" s="663">
        <f>INDEX(Inputs_EndYrBal_prior,MATCH(G170,Inputs_FF1_Map,0))</f>
        <v>14174575</v>
      </c>
      <c r="I170" s="664">
        <f>'Att 12 - Plant Held Future Use'!$D$14</f>
        <v>2112144.81</v>
      </c>
      <c r="J170" s="665">
        <f>H170-I170</f>
        <v>12062430.189999999</v>
      </c>
      <c r="K170" s="2" t="s">
        <v>863</v>
      </c>
      <c r="L170" s="2"/>
      <c r="M170" s="662"/>
      <c r="N170" s="2"/>
      <c r="O170" s="666"/>
      <c r="P170" s="1498" t="s">
        <v>844</v>
      </c>
      <c r="Q170" s="2"/>
    </row>
    <row r="171" spans="1:17" ht="15.75">
      <c r="A171" s="634"/>
      <c r="B171" s="98"/>
      <c r="C171" s="34"/>
      <c r="D171" s="61"/>
      <c r="E171" s="61"/>
      <c r="F171" s="2" t="s">
        <v>845</v>
      </c>
      <c r="G171" s="618" t="s">
        <v>862</v>
      </c>
      <c r="H171" s="667">
        <f>INDEX(Inputs_EndYrBal,MATCH(G171,Inputs_FF1_Map,0))</f>
        <v>11176145</v>
      </c>
      <c r="I171" s="664">
        <f>'Att 12 - Plant Held Future Use'!$E$14</f>
        <v>1461372.2100000002</v>
      </c>
      <c r="J171" s="665">
        <f>H171-I171</f>
        <v>9714772.7899999991</v>
      </c>
      <c r="K171" s="2" t="s">
        <v>863</v>
      </c>
      <c r="L171" s="2"/>
      <c r="M171" s="662"/>
      <c r="N171" s="2"/>
      <c r="O171" s="666"/>
      <c r="P171" s="1498" t="s">
        <v>844</v>
      </c>
      <c r="Q171" s="2"/>
    </row>
    <row r="172" spans="1:17" ht="15.75">
      <c r="A172" s="634">
        <f>+'Appendix A'!A48</f>
        <v>23</v>
      </c>
      <c r="B172" s="98"/>
      <c r="C172" s="34"/>
      <c r="D172" s="2"/>
      <c r="E172" s="62" t="str">
        <f>'Appendix A'!E48</f>
        <v>(Notes B &amp; L)</v>
      </c>
      <c r="F172" s="81" t="s">
        <v>804</v>
      </c>
      <c r="G172" s="668" t="str">
        <f>Toggle</f>
        <v>Projection</v>
      </c>
      <c r="H172" s="50"/>
      <c r="I172" s="669">
        <f>IF(Toggle=Projection,I171,IF(Toggle=True_up,AVERAGE(I170:I171),"Set Toggle!"))</f>
        <v>1461372.2100000002</v>
      </c>
      <c r="J172" s="50"/>
      <c r="K172" s="548" t="str">
        <f>IF(Toggle=Projection,"current end-of-year balance",IF(Toggle=True_up,"beg-of-year and end-of-year average ","Set Toggle!"))</f>
        <v>current end-of-year balance</v>
      </c>
      <c r="L172" s="623"/>
      <c r="M172" s="670"/>
      <c r="N172" s="2"/>
      <c r="O172" s="2"/>
      <c r="P172" s="1497"/>
      <c r="Q172" s="2"/>
    </row>
    <row r="173" spans="1:17" ht="16.5" thickBot="1">
      <c r="A173" s="652"/>
      <c r="B173" s="653"/>
      <c r="C173" s="654"/>
      <c r="D173" s="154"/>
      <c r="E173" s="154"/>
      <c r="F173" s="655"/>
      <c r="G173" s="671"/>
      <c r="H173" s="154"/>
      <c r="I173" s="672"/>
      <c r="J173" s="154"/>
      <c r="K173" s="154"/>
      <c r="L173" s="154"/>
      <c r="M173" s="656"/>
      <c r="N173" s="2"/>
      <c r="O173" s="2"/>
      <c r="P173" s="1497"/>
      <c r="Q173" s="2"/>
    </row>
    <row r="174" spans="1:17" ht="15.75">
      <c r="A174" s="2"/>
      <c r="B174" s="2"/>
      <c r="C174" s="2"/>
      <c r="D174" s="2"/>
      <c r="E174" s="2"/>
      <c r="F174" s="2"/>
      <c r="G174" s="2"/>
      <c r="H174" s="2"/>
      <c r="I174" s="2"/>
      <c r="J174" s="2"/>
      <c r="K174" s="2"/>
      <c r="L174" s="2"/>
      <c r="M174" s="2"/>
      <c r="N174" s="2"/>
      <c r="O174" s="2"/>
      <c r="P174" s="1497"/>
      <c r="Q174" s="2"/>
    </row>
    <row r="175" spans="1:17" ht="16.5" thickBot="1">
      <c r="A175" s="612" t="s">
        <v>864</v>
      </c>
      <c r="B175" s="2"/>
      <c r="C175" s="2"/>
      <c r="D175" s="2"/>
      <c r="E175" s="2"/>
      <c r="F175" s="2"/>
      <c r="G175" s="2"/>
      <c r="H175" s="2"/>
      <c r="I175" s="2"/>
      <c r="J175" s="2"/>
      <c r="K175" s="2"/>
      <c r="L175" s="2"/>
      <c r="M175" s="2"/>
      <c r="N175" s="2"/>
      <c r="O175" s="2"/>
      <c r="P175" s="1497"/>
      <c r="Q175" s="2"/>
    </row>
    <row r="176" spans="1:17" ht="15.75">
      <c r="A176" s="1952" t="s">
        <v>840</v>
      </c>
      <c r="B176" s="1953"/>
      <c r="C176" s="1953"/>
      <c r="D176" s="1953"/>
      <c r="E176" s="1953"/>
      <c r="F176" s="1953"/>
      <c r="G176" s="1954"/>
      <c r="H176" s="592"/>
      <c r="I176" s="614" t="s">
        <v>865</v>
      </c>
      <c r="J176" s="614"/>
      <c r="K176" s="1955" t="s">
        <v>850</v>
      </c>
      <c r="L176" s="1955"/>
      <c r="M176" s="1956"/>
      <c r="N176" s="2"/>
      <c r="O176" s="2"/>
      <c r="P176" s="1497"/>
      <c r="Q176" s="2"/>
    </row>
    <row r="177" spans="1:17" ht="15.75">
      <c r="A177" s="634"/>
      <c r="B177" s="17"/>
      <c r="C177" s="2"/>
      <c r="D177" s="2"/>
      <c r="E177" s="2"/>
      <c r="F177" s="37"/>
      <c r="G177" s="635"/>
      <c r="H177" s="639"/>
      <c r="I177" s="39"/>
      <c r="J177" s="2"/>
      <c r="K177" s="81"/>
      <c r="L177" s="81"/>
      <c r="M177" s="673"/>
      <c r="N177" s="2"/>
      <c r="O177" s="2"/>
      <c r="P177" s="1497"/>
      <c r="Q177" s="2"/>
    </row>
    <row r="178" spans="1:17" ht="15.75">
      <c r="A178" s="639"/>
      <c r="B178" s="34" t="s">
        <v>866</v>
      </c>
      <c r="C178" s="2"/>
      <c r="D178" s="2"/>
      <c r="E178" s="2"/>
      <c r="F178" s="37"/>
      <c r="G178" s="635"/>
      <c r="H178" s="674"/>
      <c r="I178" s="197"/>
      <c r="J178" s="197"/>
      <c r="K178" s="675"/>
      <c r="L178" s="36"/>
      <c r="M178" s="676"/>
      <c r="N178" s="2"/>
      <c r="O178" s="2"/>
      <c r="P178" s="1497"/>
      <c r="Q178" s="2"/>
    </row>
    <row r="179" spans="1:17" ht="15.75">
      <c r="A179" s="639"/>
      <c r="B179" s="34"/>
      <c r="C179" s="2"/>
      <c r="D179" s="2"/>
      <c r="E179" s="2"/>
      <c r="F179" s="37"/>
      <c r="G179" s="635"/>
      <c r="H179" s="674"/>
      <c r="I179" s="197"/>
      <c r="J179" s="197"/>
      <c r="K179" s="675"/>
      <c r="L179" s="36"/>
      <c r="M179" s="676"/>
      <c r="N179" s="2"/>
      <c r="O179" s="2"/>
      <c r="P179" s="1499"/>
      <c r="Q179" s="2"/>
    </row>
    <row r="180" spans="1:17" ht="15.75">
      <c r="A180" s="634"/>
      <c r="B180" s="17"/>
      <c r="C180" s="677" t="s">
        <v>1565</v>
      </c>
      <c r="D180" s="678"/>
      <c r="E180" s="678"/>
      <c r="F180" s="679"/>
      <c r="G180" s="642" t="s">
        <v>111</v>
      </c>
      <c r="H180" s="111" t="s">
        <v>867</v>
      </c>
      <c r="I180" s="111" t="s">
        <v>868</v>
      </c>
      <c r="J180" s="534"/>
      <c r="K180" s="675"/>
      <c r="L180" s="36"/>
      <c r="M180" s="676"/>
      <c r="N180" s="2"/>
      <c r="O180" s="2"/>
      <c r="P180" s="1499"/>
      <c r="Q180" s="2"/>
    </row>
    <row r="181" spans="1:17" ht="15.75">
      <c r="A181" s="634"/>
      <c r="B181" s="17"/>
      <c r="C181" s="681" t="s">
        <v>869</v>
      </c>
      <c r="D181" s="678"/>
      <c r="E181" s="678"/>
      <c r="F181" s="679"/>
      <c r="G181" s="642"/>
      <c r="H181" s="680"/>
      <c r="I181" s="111"/>
      <c r="J181" s="534"/>
      <c r="K181" s="675"/>
      <c r="L181" s="36"/>
      <c r="M181" s="676"/>
      <c r="N181" s="2"/>
      <c r="O181" s="2"/>
      <c r="P181" s="1499"/>
      <c r="Q181" s="2"/>
    </row>
    <row r="182" spans="1:17" ht="15.75">
      <c r="A182" s="634"/>
      <c r="B182" s="17"/>
      <c r="C182" s="682" t="s">
        <v>2157</v>
      </c>
      <c r="D182" s="678"/>
      <c r="E182" s="681" t="s">
        <v>870</v>
      </c>
      <c r="F182" s="679"/>
      <c r="G182" s="683">
        <v>22500</v>
      </c>
      <c r="H182" s="680"/>
      <c r="I182" s="111">
        <v>22500</v>
      </c>
      <c r="J182" s="534"/>
      <c r="K182" s="675"/>
      <c r="L182" s="36"/>
      <c r="M182" s="676"/>
      <c r="N182" s="2"/>
      <c r="O182" s="2"/>
      <c r="P182" s="1499"/>
      <c r="Q182" s="2"/>
    </row>
    <row r="183" spans="1:17" ht="15.75">
      <c r="A183" s="634"/>
      <c r="B183" s="17"/>
      <c r="C183" s="682" t="s">
        <v>2158</v>
      </c>
      <c r="D183" s="678"/>
      <c r="E183" s="681" t="s">
        <v>870</v>
      </c>
      <c r="F183" s="679"/>
      <c r="G183" s="683">
        <v>447600</v>
      </c>
      <c r="H183" s="684"/>
      <c r="I183" s="111">
        <v>447600</v>
      </c>
      <c r="J183" s="534"/>
      <c r="K183" s="675"/>
      <c r="L183" s="36"/>
      <c r="M183" s="676"/>
      <c r="N183" s="2"/>
      <c r="O183" s="2"/>
      <c r="P183" s="1499"/>
      <c r="Q183" s="2"/>
    </row>
    <row r="184" spans="1:17" ht="15.75">
      <c r="A184" s="634"/>
      <c r="B184" s="17"/>
      <c r="C184" s="682" t="s">
        <v>2047</v>
      </c>
      <c r="D184" s="678"/>
      <c r="E184" s="681" t="s">
        <v>870</v>
      </c>
      <c r="F184" s="679"/>
      <c r="G184" s="683">
        <v>40642</v>
      </c>
      <c r="H184" s="684"/>
      <c r="I184" s="111">
        <v>40642</v>
      </c>
      <c r="J184" s="534"/>
      <c r="K184" s="675"/>
      <c r="L184" s="36"/>
      <c r="M184" s="676"/>
      <c r="N184" s="2"/>
      <c r="O184" s="2"/>
      <c r="P184" s="1499"/>
      <c r="Q184" s="2"/>
    </row>
    <row r="185" spans="1:17" ht="15.75">
      <c r="A185" s="634"/>
      <c r="B185" s="17"/>
      <c r="C185" s="682" t="s">
        <v>2159</v>
      </c>
      <c r="D185" s="678"/>
      <c r="E185" s="681" t="s">
        <v>870</v>
      </c>
      <c r="F185" s="679"/>
      <c r="G185" s="683">
        <v>6250</v>
      </c>
      <c r="H185" s="684"/>
      <c r="I185" s="111">
        <v>6250</v>
      </c>
      <c r="J185" s="534"/>
      <c r="K185" s="675"/>
      <c r="L185" s="36"/>
      <c r="M185" s="676"/>
      <c r="N185" s="2"/>
      <c r="O185" s="2"/>
      <c r="P185" s="1499"/>
      <c r="Q185" s="2"/>
    </row>
    <row r="186" spans="1:17" ht="15.75">
      <c r="A186" s="634"/>
      <c r="B186" s="17"/>
      <c r="C186" s="682" t="s">
        <v>2160</v>
      </c>
      <c r="D186" s="678"/>
      <c r="E186" s="681" t="s">
        <v>870</v>
      </c>
      <c r="F186" s="679"/>
      <c r="G186" s="683">
        <v>14247</v>
      </c>
      <c r="H186" s="684"/>
      <c r="I186" s="111">
        <v>14247</v>
      </c>
      <c r="J186" s="534"/>
      <c r="K186" s="675"/>
      <c r="L186" s="36"/>
      <c r="M186" s="676"/>
      <c r="N186" s="2"/>
      <c r="O186" s="2"/>
      <c r="P186" s="1499"/>
      <c r="Q186" s="2"/>
    </row>
    <row r="187" spans="1:17" ht="15.75">
      <c r="A187" s="634"/>
      <c r="B187" s="17"/>
      <c r="C187" s="682" t="s">
        <v>2161</v>
      </c>
      <c r="D187" s="678"/>
      <c r="E187" s="681" t="s">
        <v>870</v>
      </c>
      <c r="F187" s="679"/>
      <c r="G187" s="683">
        <v>31003</v>
      </c>
      <c r="H187" s="684"/>
      <c r="I187" s="111">
        <v>31003</v>
      </c>
      <c r="J187" s="534"/>
      <c r="K187" s="675"/>
      <c r="L187" s="36"/>
      <c r="M187" s="676"/>
      <c r="N187" s="2"/>
      <c r="O187" s="2"/>
      <c r="P187" s="1499"/>
      <c r="Q187" s="2"/>
    </row>
    <row r="188" spans="1:17" ht="15.75">
      <c r="A188" s="634"/>
      <c r="B188" s="17"/>
      <c r="C188" s="682" t="s">
        <v>2162</v>
      </c>
      <c r="D188" s="678"/>
      <c r="E188" s="681" t="s">
        <v>870</v>
      </c>
      <c r="F188" s="679"/>
      <c r="G188" s="683">
        <v>10444</v>
      </c>
      <c r="H188" s="684"/>
      <c r="I188" s="111">
        <v>10444</v>
      </c>
      <c r="J188" s="534"/>
      <c r="K188" s="675"/>
      <c r="L188" s="36"/>
      <c r="M188" s="676"/>
      <c r="N188" s="2"/>
      <c r="O188" s="2"/>
      <c r="P188" s="1499"/>
      <c r="Q188" s="2"/>
    </row>
    <row r="189" spans="1:17" ht="15.75">
      <c r="A189" s="634"/>
      <c r="B189" s="17"/>
      <c r="C189" s="682" t="s">
        <v>2163</v>
      </c>
      <c r="D189" s="678"/>
      <c r="E189" s="681" t="s">
        <v>870</v>
      </c>
      <c r="F189" s="679"/>
      <c r="G189" s="683">
        <v>19215</v>
      </c>
      <c r="H189" s="684"/>
      <c r="I189" s="111">
        <v>19215</v>
      </c>
      <c r="J189" s="534"/>
      <c r="K189" s="675"/>
      <c r="L189" s="36"/>
      <c r="M189" s="676"/>
      <c r="N189" s="2"/>
      <c r="O189" s="2"/>
      <c r="P189" s="1499"/>
      <c r="Q189" s="2"/>
    </row>
    <row r="190" spans="1:17" ht="15.75">
      <c r="A190" s="634"/>
      <c r="B190" s="17"/>
      <c r="C190" s="682" t="s">
        <v>1875</v>
      </c>
      <c r="D190" s="678"/>
      <c r="E190" s="681" t="s">
        <v>870</v>
      </c>
      <c r="F190" s="679"/>
      <c r="G190" s="683">
        <v>958903.91000000038</v>
      </c>
      <c r="H190" s="684">
        <f>G190</f>
        <v>958903.91000000038</v>
      </c>
      <c r="I190" s="111"/>
      <c r="J190" s="534"/>
      <c r="K190" s="675"/>
      <c r="L190" s="36"/>
      <c r="M190" s="676"/>
      <c r="N190" s="2"/>
      <c r="O190" s="2"/>
      <c r="P190" s="1499"/>
      <c r="Q190" s="2"/>
    </row>
    <row r="191" spans="1:17" ht="15.75">
      <c r="A191" s="634"/>
      <c r="B191" s="17"/>
      <c r="C191" s="682" t="s">
        <v>2164</v>
      </c>
      <c r="D191" s="678"/>
      <c r="E191" s="681" t="s">
        <v>870</v>
      </c>
      <c r="F191" s="679"/>
      <c r="G191" s="683">
        <v>227.5</v>
      </c>
      <c r="H191" s="684"/>
      <c r="I191" s="111">
        <v>227.5</v>
      </c>
      <c r="J191" s="534"/>
      <c r="K191" s="675"/>
      <c r="L191" s="36"/>
      <c r="M191" s="676"/>
      <c r="N191" s="2"/>
      <c r="O191" s="2"/>
      <c r="P191" s="1499"/>
      <c r="Q191" s="2"/>
    </row>
    <row r="192" spans="1:17" ht="15.75">
      <c r="A192" s="634"/>
      <c r="B192" s="17"/>
      <c r="C192" s="682" t="s">
        <v>2165</v>
      </c>
      <c r="D192" s="678"/>
      <c r="E192" s="681" t="s">
        <v>870</v>
      </c>
      <c r="F192" s="679"/>
      <c r="G192" s="683">
        <v>14920</v>
      </c>
      <c r="H192" s="684"/>
      <c r="I192" s="111">
        <v>14920</v>
      </c>
      <c r="J192" s="534"/>
      <c r="K192" s="675"/>
      <c r="L192" s="36"/>
      <c r="M192" s="676"/>
      <c r="N192" s="2"/>
      <c r="O192" s="2"/>
      <c r="P192" s="1499"/>
      <c r="Q192" s="2"/>
    </row>
    <row r="193" spans="1:17" ht="15.75">
      <c r="A193" s="634"/>
      <c r="B193" s="17"/>
      <c r="C193" s="682" t="s">
        <v>2166</v>
      </c>
      <c r="D193" s="678"/>
      <c r="E193" s="681" t="s">
        <v>870</v>
      </c>
      <c r="F193" s="679"/>
      <c r="G193" s="683">
        <v>533</v>
      </c>
      <c r="H193" s="684"/>
      <c r="I193" s="111">
        <v>533</v>
      </c>
      <c r="J193" s="534"/>
      <c r="K193" s="675"/>
      <c r="L193" s="36"/>
      <c r="M193" s="676"/>
      <c r="N193" s="2"/>
      <c r="O193" s="2"/>
      <c r="P193" s="1499"/>
      <c r="Q193" s="2"/>
    </row>
    <row r="194" spans="1:17" ht="15.75">
      <c r="A194" s="634"/>
      <c r="B194" s="17"/>
      <c r="C194" s="682" t="s">
        <v>2167</v>
      </c>
      <c r="D194" s="678"/>
      <c r="E194" s="681" t="s">
        <v>870</v>
      </c>
      <c r="F194" s="679"/>
      <c r="G194" s="683">
        <v>38928.83</v>
      </c>
      <c r="H194" s="684"/>
      <c r="I194" s="111">
        <v>38928.83</v>
      </c>
      <c r="J194" s="534"/>
      <c r="K194" s="675"/>
      <c r="L194" s="36"/>
      <c r="M194" s="676"/>
      <c r="N194" s="2"/>
      <c r="O194" s="2"/>
      <c r="P194" s="1499"/>
      <c r="Q194" s="2"/>
    </row>
    <row r="195" spans="1:17" ht="15.75">
      <c r="A195" s="634"/>
      <c r="B195" s="17"/>
      <c r="C195" s="682" t="s">
        <v>2149</v>
      </c>
      <c r="D195" s="678"/>
      <c r="E195" s="681" t="s">
        <v>870</v>
      </c>
      <c r="F195" s="679"/>
      <c r="G195" s="683">
        <v>12250</v>
      </c>
      <c r="H195" s="684"/>
      <c r="I195" s="111">
        <v>12250</v>
      </c>
      <c r="J195" s="534"/>
      <c r="K195" s="675"/>
      <c r="L195" s="36"/>
      <c r="M195" s="676"/>
      <c r="N195" s="2"/>
      <c r="O195" s="2"/>
      <c r="P195" s="1499"/>
      <c r="Q195" s="2"/>
    </row>
    <row r="196" spans="1:17" ht="15.75">
      <c r="A196" s="634"/>
      <c r="B196" s="17"/>
      <c r="C196" s="682" t="s">
        <v>2168</v>
      </c>
      <c r="D196" s="678"/>
      <c r="E196" s="681" t="s">
        <v>870</v>
      </c>
      <c r="F196" s="679"/>
      <c r="G196" s="683">
        <v>8000</v>
      </c>
      <c r="H196" s="684"/>
      <c r="I196" s="111">
        <v>8000</v>
      </c>
      <c r="J196" s="534"/>
      <c r="K196" s="675"/>
      <c r="L196" s="36"/>
      <c r="M196" s="676"/>
      <c r="N196" s="2"/>
      <c r="O196" s="2"/>
      <c r="P196" s="1499"/>
      <c r="Q196" s="2"/>
    </row>
    <row r="197" spans="1:17" ht="15.75">
      <c r="A197" s="634"/>
      <c r="B197" s="17"/>
      <c r="C197" s="682" t="s">
        <v>1876</v>
      </c>
      <c r="D197" s="678"/>
      <c r="E197" s="681" t="s">
        <v>870</v>
      </c>
      <c r="F197" s="679"/>
      <c r="G197" s="683">
        <v>123264.24000000003</v>
      </c>
      <c r="H197" s="684">
        <f>G197</f>
        <v>123264.24000000003</v>
      </c>
      <c r="I197" s="111"/>
      <c r="J197" s="534"/>
      <c r="K197" s="675"/>
      <c r="L197" s="36"/>
      <c r="M197" s="676"/>
      <c r="N197" s="2"/>
      <c r="O197" s="2"/>
      <c r="P197" s="1499"/>
      <c r="Q197" s="2"/>
    </row>
    <row r="198" spans="1:17" ht="15.75">
      <c r="A198" s="634"/>
      <c r="B198" s="17"/>
      <c r="C198" s="682" t="s">
        <v>2169</v>
      </c>
      <c r="D198" s="678"/>
      <c r="E198" s="681" t="s">
        <v>870</v>
      </c>
      <c r="F198" s="679"/>
      <c r="G198" s="683">
        <v>17102.64</v>
      </c>
      <c r="H198" s="684"/>
      <c r="I198" s="111">
        <v>17102.64</v>
      </c>
      <c r="J198" s="534"/>
      <c r="K198" s="675"/>
      <c r="L198" s="36"/>
      <c r="M198" s="676"/>
      <c r="N198" s="2"/>
      <c r="O198" s="2"/>
      <c r="P198" s="1499"/>
      <c r="Q198" s="2"/>
    </row>
    <row r="199" spans="1:17" ht="15.75">
      <c r="A199" s="634"/>
      <c r="B199" s="17"/>
      <c r="C199" s="682" t="s">
        <v>1564</v>
      </c>
      <c r="D199" s="678"/>
      <c r="E199" s="681" t="s">
        <v>870</v>
      </c>
      <c r="F199" s="679"/>
      <c r="G199" s="683">
        <v>40291</v>
      </c>
      <c r="H199" s="684"/>
      <c r="I199" s="111">
        <v>40291</v>
      </c>
      <c r="J199" s="534"/>
      <c r="K199" s="675"/>
      <c r="L199" s="36"/>
      <c r="M199" s="676"/>
      <c r="N199" s="2"/>
      <c r="O199" s="2"/>
      <c r="P199" s="1499"/>
      <c r="Q199" s="2"/>
    </row>
    <row r="200" spans="1:17" ht="15.75">
      <c r="A200" s="634"/>
      <c r="B200" s="17"/>
      <c r="C200" s="682" t="s">
        <v>2170</v>
      </c>
      <c r="D200" s="678"/>
      <c r="E200" s="681" t="s">
        <v>870</v>
      </c>
      <c r="F200" s="679"/>
      <c r="G200" s="683">
        <v>20000</v>
      </c>
      <c r="H200" s="684"/>
      <c r="I200" s="111">
        <v>20000</v>
      </c>
      <c r="J200" s="534"/>
      <c r="K200" s="675"/>
      <c r="L200" s="36"/>
      <c r="M200" s="676"/>
      <c r="N200" s="2"/>
      <c r="O200" s="2"/>
      <c r="P200" s="1499"/>
      <c r="Q200" s="2"/>
    </row>
    <row r="201" spans="1:17" ht="15.75">
      <c r="A201" s="634"/>
      <c r="B201" s="17"/>
      <c r="C201" s="682" t="s">
        <v>2171</v>
      </c>
      <c r="D201" s="678"/>
      <c r="E201" s="681" t="s">
        <v>870</v>
      </c>
      <c r="F201" s="679"/>
      <c r="G201" s="683">
        <v>9101.2000000000007</v>
      </c>
      <c r="H201" s="684"/>
      <c r="I201" s="111">
        <v>9101.2000000000007</v>
      </c>
      <c r="J201" s="534"/>
      <c r="K201" s="675"/>
      <c r="L201" s="36"/>
      <c r="M201" s="676"/>
      <c r="N201" s="2"/>
      <c r="O201" s="2"/>
      <c r="P201" s="1499"/>
      <c r="Q201" s="2"/>
    </row>
    <row r="202" spans="1:17" ht="15.75">
      <c r="A202" s="634"/>
      <c r="B202" s="17"/>
      <c r="C202" s="682" t="s">
        <v>2150</v>
      </c>
      <c r="D202" s="678"/>
      <c r="E202" s="681" t="s">
        <v>870</v>
      </c>
      <c r="F202" s="679"/>
      <c r="G202" s="683">
        <v>21361.25</v>
      </c>
      <c r="H202" s="684"/>
      <c r="I202" s="111">
        <v>21361.25</v>
      </c>
      <c r="J202" s="534"/>
      <c r="K202" s="675"/>
      <c r="L202" s="36"/>
      <c r="M202" s="676"/>
      <c r="N202" s="2"/>
      <c r="O202" s="2"/>
      <c r="P202" s="1499"/>
      <c r="Q202" s="2"/>
    </row>
    <row r="203" spans="1:17" ht="15.75">
      <c r="A203" s="634"/>
      <c r="B203" s="17"/>
      <c r="C203" s="682" t="s">
        <v>2172</v>
      </c>
      <c r="D203" s="678"/>
      <c r="E203" s="681" t="s">
        <v>870</v>
      </c>
      <c r="F203" s="679"/>
      <c r="G203" s="683">
        <v>145994.51</v>
      </c>
      <c r="H203" s="684"/>
      <c r="I203" s="111">
        <v>145994.51</v>
      </c>
      <c r="J203" s="534"/>
      <c r="K203" s="675"/>
      <c r="L203" s="36"/>
      <c r="M203" s="676"/>
      <c r="N203" s="2"/>
      <c r="O203" s="2"/>
      <c r="P203" s="1499"/>
      <c r="Q203" s="2"/>
    </row>
    <row r="204" spans="1:17" ht="15.75">
      <c r="A204" s="634"/>
      <c r="B204" s="17"/>
      <c r="C204" s="682" t="s">
        <v>2151</v>
      </c>
      <c r="D204" s="678"/>
      <c r="E204" s="681" t="s">
        <v>870</v>
      </c>
      <c r="F204" s="679"/>
      <c r="G204" s="1820">
        <v>29200</v>
      </c>
      <c r="H204" s="684"/>
      <c r="I204" s="111">
        <v>29200</v>
      </c>
      <c r="J204" s="534"/>
      <c r="K204" s="675"/>
      <c r="L204" s="36"/>
      <c r="M204" s="676"/>
      <c r="N204" s="2"/>
      <c r="O204" s="2"/>
      <c r="P204" s="1499"/>
      <c r="Q204" s="2"/>
    </row>
    <row r="205" spans="1:17" ht="15.75">
      <c r="A205" s="634"/>
      <c r="B205" s="17"/>
      <c r="C205" s="682"/>
      <c r="D205" s="678"/>
      <c r="E205" s="681" t="s">
        <v>871</v>
      </c>
      <c r="F205" s="679"/>
      <c r="G205" s="1820">
        <f>SUM(G182:G204)</f>
        <v>2031979.0800000003</v>
      </c>
      <c r="H205" s="684"/>
      <c r="I205" s="111"/>
      <c r="J205" s="534"/>
      <c r="K205" s="675"/>
      <c r="L205" s="36"/>
      <c r="M205" s="676"/>
      <c r="N205" s="2"/>
      <c r="O205" s="2"/>
      <c r="P205" s="1499"/>
      <c r="Q205" s="2"/>
    </row>
    <row r="206" spans="1:17" ht="15.75">
      <c r="A206" s="634"/>
      <c r="B206" s="17"/>
      <c r="C206" s="682"/>
      <c r="D206" s="682"/>
      <c r="E206" s="682"/>
      <c r="F206" s="679"/>
      <c r="G206" s="642"/>
      <c r="H206" s="684"/>
      <c r="I206" s="111"/>
      <c r="J206" s="534"/>
      <c r="K206" s="675"/>
      <c r="L206" s="36"/>
      <c r="M206" s="676"/>
      <c r="N206" s="2"/>
      <c r="O206" s="2"/>
      <c r="P206" s="1499"/>
      <c r="Q206" s="2"/>
    </row>
    <row r="207" spans="1:17" ht="15.75">
      <c r="A207" s="634"/>
      <c r="B207" s="17"/>
      <c r="C207" s="682" t="s">
        <v>2196</v>
      </c>
      <c r="D207" s="682"/>
      <c r="E207" s="682"/>
      <c r="F207" s="679"/>
      <c r="G207" s="642"/>
      <c r="H207" s="684"/>
      <c r="I207" s="111"/>
      <c r="J207" s="534"/>
      <c r="K207" s="675"/>
      <c r="L207" s="36"/>
      <c r="M207" s="676"/>
      <c r="N207" s="2"/>
      <c r="O207" s="2"/>
      <c r="P207" s="1499"/>
      <c r="Q207" s="2"/>
    </row>
    <row r="208" spans="1:17" ht="15.75">
      <c r="A208" s="634"/>
      <c r="B208" s="17"/>
      <c r="C208" s="682" t="s">
        <v>2197</v>
      </c>
      <c r="D208" s="682"/>
      <c r="E208" s="682" t="s">
        <v>2198</v>
      </c>
      <c r="F208" s="682"/>
      <c r="G208" s="683">
        <v>244385</v>
      </c>
      <c r="H208" s="684"/>
      <c r="I208" s="111">
        <f>G208</f>
        <v>244385</v>
      </c>
      <c r="J208" s="534"/>
      <c r="K208" s="675"/>
      <c r="L208" s="36"/>
      <c r="M208" s="676"/>
      <c r="N208" s="2"/>
      <c r="O208" s="2"/>
      <c r="P208" s="1499"/>
      <c r="Q208" s="2"/>
    </row>
    <row r="209" spans="1:17" ht="15.75">
      <c r="A209" s="634"/>
      <c r="B209" s="17"/>
      <c r="C209" s="682" t="s">
        <v>872</v>
      </c>
      <c r="D209" s="682"/>
      <c r="E209" s="682" t="s">
        <v>2199</v>
      </c>
      <c r="F209" s="682"/>
      <c r="G209" s="683">
        <v>111722.84999999999</v>
      </c>
      <c r="H209" s="684"/>
      <c r="I209" s="111">
        <f>G209</f>
        <v>111722.84999999999</v>
      </c>
      <c r="J209" s="534"/>
      <c r="K209" s="1867"/>
      <c r="L209" s="36"/>
      <c r="M209" s="676"/>
      <c r="N209" s="2"/>
      <c r="O209" s="2"/>
      <c r="P209" s="1499"/>
      <c r="Q209" s="2"/>
    </row>
    <row r="210" spans="1:17" ht="15.75">
      <c r="A210" s="634"/>
      <c r="B210" s="17"/>
      <c r="C210" s="682"/>
      <c r="D210" s="682"/>
      <c r="E210" s="682"/>
      <c r="F210" s="682"/>
      <c r="G210" s="683"/>
      <c r="H210" s="684"/>
      <c r="I210" s="111"/>
      <c r="J210" s="534"/>
      <c r="K210" s="1867"/>
      <c r="L210" s="36"/>
      <c r="M210" s="676"/>
      <c r="N210" s="2"/>
      <c r="O210" s="2"/>
      <c r="P210" s="1499"/>
      <c r="Q210" s="2"/>
    </row>
    <row r="211" spans="1:17" ht="15.75">
      <c r="A211" s="634"/>
      <c r="B211" s="17"/>
      <c r="C211" s="682" t="s">
        <v>2173</v>
      </c>
      <c r="D211" s="682"/>
      <c r="E211" s="682" t="s">
        <v>2200</v>
      </c>
      <c r="F211" s="682"/>
      <c r="G211" s="683">
        <v>14000</v>
      </c>
      <c r="H211" s="684"/>
      <c r="I211" s="111">
        <f>G211</f>
        <v>14000</v>
      </c>
      <c r="J211" s="534"/>
      <c r="K211" s="1867"/>
      <c r="L211" s="36"/>
      <c r="M211" s="676"/>
      <c r="N211" s="2"/>
      <c r="O211" s="2"/>
      <c r="P211" s="1499"/>
      <c r="Q211" s="2"/>
    </row>
    <row r="212" spans="1:17" ht="15.75">
      <c r="A212" s="634"/>
      <c r="B212" s="17"/>
      <c r="C212" s="682"/>
      <c r="D212" s="682"/>
      <c r="E212" s="682"/>
      <c r="F212" s="682"/>
      <c r="G212" s="683"/>
      <c r="H212" s="684"/>
      <c r="I212" s="111"/>
      <c r="J212" s="534"/>
      <c r="K212" s="675"/>
      <c r="L212" s="36"/>
      <c r="M212" s="676"/>
      <c r="N212" s="2"/>
      <c r="O212" s="2"/>
      <c r="P212" s="1499"/>
      <c r="Q212" s="2"/>
    </row>
    <row r="213" spans="1:17" ht="15.75">
      <c r="A213" s="634"/>
      <c r="B213" s="17"/>
      <c r="C213" s="682" t="s">
        <v>873</v>
      </c>
      <c r="D213" s="682"/>
      <c r="E213" s="682" t="s">
        <v>2201</v>
      </c>
      <c r="F213" s="682"/>
      <c r="G213" s="683">
        <v>570931.09000000008</v>
      </c>
      <c r="H213" s="684">
        <f>G213</f>
        <v>570931.09000000008</v>
      </c>
      <c r="I213" s="111"/>
      <c r="J213" s="534"/>
      <c r="K213" s="675"/>
      <c r="L213" s="36"/>
      <c r="M213" s="676"/>
      <c r="N213" s="2"/>
      <c r="O213" s="2"/>
      <c r="P213" s="1499"/>
      <c r="Q213" s="2"/>
    </row>
    <row r="214" spans="1:17" ht="15.75">
      <c r="A214" s="634"/>
      <c r="B214" s="17"/>
      <c r="C214" s="682"/>
      <c r="D214" s="682"/>
      <c r="E214" s="682"/>
      <c r="F214" s="682"/>
      <c r="G214" s="642"/>
      <c r="H214" s="684"/>
      <c r="I214" s="111"/>
      <c r="J214" s="534"/>
      <c r="K214" s="675"/>
      <c r="L214" s="36"/>
      <c r="M214" s="676"/>
      <c r="N214" s="2"/>
      <c r="O214" s="2"/>
      <c r="P214" s="1499"/>
      <c r="Q214" s="2"/>
    </row>
    <row r="215" spans="1:17" ht="15.75">
      <c r="A215" s="634">
        <f>'Appendix A'!$A$124</f>
        <v>63</v>
      </c>
      <c r="B215" s="17"/>
      <c r="C215" s="685" t="s">
        <v>111</v>
      </c>
      <c r="D215" s="62"/>
      <c r="E215" s="62" t="str">
        <f>'Appendix A'!E124</f>
        <v>(Note C)</v>
      </c>
      <c r="F215" s="49"/>
      <c r="G215" s="673" t="s">
        <v>874</v>
      </c>
      <c r="H215" s="686"/>
      <c r="I215" s="120">
        <f>SUM(I181:I214)</f>
        <v>1319918.78</v>
      </c>
      <c r="J215" s="197"/>
      <c r="K215" s="675"/>
      <c r="L215" s="36"/>
      <c r="M215" s="676"/>
      <c r="N215" s="687"/>
      <c r="O215" s="688"/>
      <c r="P215" s="1499"/>
      <c r="Q215" s="2"/>
    </row>
    <row r="216" spans="1:17" ht="15.75">
      <c r="A216" s="634"/>
      <c r="B216" s="17"/>
      <c r="C216" s="689"/>
      <c r="D216" s="2"/>
      <c r="E216" s="2"/>
      <c r="F216" s="37"/>
      <c r="G216" s="635"/>
      <c r="H216" s="690"/>
      <c r="I216" s="99"/>
      <c r="J216" s="197"/>
      <c r="K216" s="675"/>
      <c r="L216" s="36"/>
      <c r="M216" s="676"/>
      <c r="N216" s="2"/>
      <c r="O216" s="2"/>
      <c r="P216" s="1497"/>
      <c r="Q216" s="2"/>
    </row>
    <row r="217" spans="1:17" ht="15.75">
      <c r="A217" s="634"/>
      <c r="B217" s="34" t="s">
        <v>875</v>
      </c>
      <c r="C217" s="2"/>
      <c r="D217" s="2"/>
      <c r="E217" s="2"/>
      <c r="F217" s="37"/>
      <c r="G217" s="635"/>
      <c r="H217" s="690"/>
      <c r="I217" s="99"/>
      <c r="J217" s="197"/>
      <c r="K217" s="675"/>
      <c r="L217" s="36"/>
      <c r="M217" s="676"/>
      <c r="N217" s="2"/>
      <c r="O217" s="2"/>
      <c r="P217" s="1497"/>
      <c r="Q217" s="2"/>
    </row>
    <row r="218" spans="1:17" ht="15.75">
      <c r="A218" s="634"/>
      <c r="B218" s="17"/>
      <c r="C218" s="34" t="str">
        <f>IF(Toggle=True_up,"Fixed PBOP expense",IF(Toggle=Projection,"Authorized filed PBOP expense"))</f>
        <v>Authorized filed PBOP expense</v>
      </c>
      <c r="D218" s="2"/>
      <c r="E218" s="2"/>
      <c r="F218" s="37"/>
      <c r="G218" s="691" t="s">
        <v>876</v>
      </c>
      <c r="H218" s="692"/>
      <c r="I218" s="693">
        <f>'Att 17 - PBOP'!D54</f>
        <v>899863.45</v>
      </c>
      <c r="J218" s="38"/>
      <c r="K218" s="675"/>
      <c r="L218" s="36"/>
      <c r="M218" s="676"/>
      <c r="N218" s="2"/>
      <c r="O218" s="2"/>
      <c r="P218" s="1498" t="s">
        <v>844</v>
      </c>
      <c r="Q218" s="2"/>
    </row>
    <row r="219" spans="1:17" ht="15.75">
      <c r="A219" s="634"/>
      <c r="B219" s="2"/>
      <c r="C219" s="71" t="s">
        <v>877</v>
      </c>
      <c r="D219" s="71"/>
      <c r="E219" s="71"/>
      <c r="F219" s="71"/>
      <c r="G219" s="694" t="str">
        <f>IF(Toggle=True_up,"Attachement 17",IF(Toggle=Projection,"Attachment 17 total"))</f>
        <v>Attachment 17 total</v>
      </c>
      <c r="H219" s="692"/>
      <c r="I219" s="695">
        <f>'Att 17 - PBOP'!$D$54</f>
        <v>899863.45</v>
      </c>
      <c r="J219" s="2"/>
      <c r="K219" s="675"/>
      <c r="L219" s="36"/>
      <c r="M219" s="676"/>
      <c r="N219" s="2"/>
      <c r="O219" s="2"/>
      <c r="P219" s="1498" t="s">
        <v>844</v>
      </c>
      <c r="Q219" s="2"/>
    </row>
    <row r="220" spans="1:17" ht="15.75">
      <c r="A220" s="634">
        <f>+'Appendix A'!A119</f>
        <v>58</v>
      </c>
      <c r="B220" s="2"/>
      <c r="C220" s="689" t="str">
        <f>IF(Toggle=True_up,"Adjusted total (Current year actual)",IF(Toggle=Projection,"Actual PBOP Expense Adjustment"))</f>
        <v>Actual PBOP Expense Adjustment</v>
      </c>
      <c r="D220" s="62"/>
      <c r="E220" s="39"/>
      <c r="F220" s="2"/>
      <c r="G220" s="673" t="s">
        <v>874</v>
      </c>
      <c r="H220" s="696" t="str">
        <f>Toggle</f>
        <v>Projection</v>
      </c>
      <c r="I220" s="83">
        <f>I218-I219</f>
        <v>0</v>
      </c>
      <c r="J220" s="697" t="s">
        <v>878</v>
      </c>
      <c r="K220" s="675"/>
      <c r="L220" s="36"/>
      <c r="M220" s="676"/>
      <c r="N220" s="2"/>
      <c r="O220" s="2"/>
      <c r="P220" s="1497"/>
      <c r="Q220" s="2"/>
    </row>
    <row r="221" spans="1:17" ht="15.75">
      <c r="A221" s="634"/>
      <c r="B221" s="2"/>
      <c r="C221" s="689"/>
      <c r="D221" s="2"/>
      <c r="E221" s="2"/>
      <c r="F221" s="2"/>
      <c r="G221" s="640"/>
      <c r="H221" s="690"/>
      <c r="I221" s="45"/>
      <c r="J221" s="38"/>
      <c r="K221" s="675"/>
      <c r="L221" s="36"/>
      <c r="M221" s="676"/>
      <c r="N221" s="2"/>
      <c r="O221" s="2"/>
      <c r="P221" s="1497"/>
      <c r="Q221" s="2"/>
    </row>
    <row r="222" spans="1:17" ht="15.75">
      <c r="A222" s="634"/>
      <c r="B222" s="2" t="s">
        <v>879</v>
      </c>
      <c r="C222" s="2"/>
      <c r="D222" s="2"/>
      <c r="E222" s="2"/>
      <c r="F222" s="2"/>
      <c r="G222" s="640"/>
      <c r="H222" s="690"/>
      <c r="I222" s="45"/>
      <c r="J222" s="38"/>
      <c r="K222" s="675"/>
      <c r="L222" s="36"/>
      <c r="M222" s="676"/>
      <c r="N222" s="2"/>
      <c r="O222" s="2"/>
      <c r="P222" s="1497"/>
      <c r="Q222" s="2"/>
    </row>
    <row r="223" spans="1:17" ht="15.75">
      <c r="A223" s="639"/>
      <c r="B223" s="2"/>
      <c r="C223" s="73" t="str">
        <f xml:space="preserve">    'Appendix A'!C134</f>
        <v>Property Insurance Account 924</v>
      </c>
      <c r="D223" s="71"/>
      <c r="E223" s="71"/>
      <c r="F223" s="71"/>
      <c r="G223" s="698" t="str">
        <f>'Appendix A'!F120</f>
        <v>320.185b</v>
      </c>
      <c r="H223" s="699"/>
      <c r="I223" s="700">
        <f>INDEX(Inputs_EndYrBal,MATCH(G223,Inputs_FF1_Map,0))</f>
        <v>6538361</v>
      </c>
      <c r="J223" s="2"/>
      <c r="K223" s="675"/>
      <c r="L223" s="2"/>
      <c r="M223" s="635"/>
      <c r="N223" s="2"/>
      <c r="O223" s="2"/>
      <c r="P223" s="1498" t="s">
        <v>844</v>
      </c>
      <c r="Q223" s="2"/>
    </row>
    <row r="224" spans="1:17" ht="15.75">
      <c r="A224" s="634">
        <f>'Appendix A'!A134</f>
        <v>70</v>
      </c>
      <c r="B224" s="2"/>
      <c r="C224" s="34"/>
      <c r="D224" s="2"/>
      <c r="E224" s="39" t="str">
        <f>'Appendix A'!$E$134</f>
        <v>(Note F)</v>
      </c>
      <c r="F224" s="2"/>
      <c r="G224" s="673" t="s">
        <v>874</v>
      </c>
      <c r="H224" s="692"/>
      <c r="I224" s="76">
        <f>I223</f>
        <v>6538361</v>
      </c>
      <c r="J224" s="2"/>
      <c r="K224" s="497"/>
      <c r="L224" s="497"/>
      <c r="M224" s="670"/>
      <c r="N224" s="2"/>
      <c r="O224" s="2"/>
      <c r="P224" s="1497"/>
      <c r="Q224" s="2"/>
    </row>
    <row r="225" spans="1:17" ht="16.5" thickBot="1">
      <c r="A225" s="652"/>
      <c r="B225" s="155"/>
      <c r="C225" s="654"/>
      <c r="D225" s="154"/>
      <c r="E225" s="154"/>
      <c r="F225" s="655"/>
      <c r="G225" s="671"/>
      <c r="H225" s="701"/>
      <c r="I225" s="155"/>
      <c r="J225" s="654"/>
      <c r="K225" s="654"/>
      <c r="L225" s="155"/>
      <c r="M225" s="702"/>
      <c r="N225" s="2"/>
      <c r="O225" s="2"/>
      <c r="P225" s="1497"/>
      <c r="Q225" s="2"/>
    </row>
    <row r="226" spans="1:17" ht="15.75">
      <c r="A226" s="2"/>
      <c r="B226" s="2"/>
      <c r="C226" s="2"/>
      <c r="D226" s="2"/>
      <c r="E226" s="2"/>
      <c r="F226" s="2"/>
      <c r="G226" s="2"/>
      <c r="H226" s="2"/>
      <c r="I226" s="2"/>
      <c r="J226" s="2"/>
      <c r="K226" s="2"/>
      <c r="L226" s="2"/>
      <c r="M226" s="2"/>
      <c r="N226" s="2"/>
      <c r="O226" s="2"/>
      <c r="P226" s="1497"/>
      <c r="Q226" s="2"/>
    </row>
    <row r="227" spans="1:17" ht="15.75">
      <c r="A227" s="2"/>
      <c r="B227" s="2"/>
      <c r="C227" s="2"/>
      <c r="D227" s="2"/>
      <c r="E227" s="2"/>
      <c r="F227" s="2"/>
      <c r="G227" s="2"/>
      <c r="H227" s="2"/>
      <c r="I227" s="197"/>
      <c r="J227" s="2"/>
      <c r="K227" s="2"/>
      <c r="L227" s="2"/>
      <c r="M227" s="2"/>
      <c r="N227" s="2"/>
      <c r="O227" s="2"/>
      <c r="P227" s="1497"/>
      <c r="Q227" s="2"/>
    </row>
    <row r="228" spans="1:17" ht="16.5" thickBot="1">
      <c r="A228" s="612" t="s">
        <v>880</v>
      </c>
      <c r="B228" s="2"/>
      <c r="C228" s="2"/>
      <c r="D228" s="2"/>
      <c r="E228" s="2"/>
      <c r="F228" s="2"/>
      <c r="G228" s="2"/>
      <c r="H228" s="2"/>
      <c r="I228" s="2"/>
      <c r="J228" s="2"/>
      <c r="K228" s="2"/>
      <c r="L228" s="2"/>
      <c r="M228" s="2"/>
      <c r="N228" s="2"/>
      <c r="O228" s="2"/>
      <c r="P228" s="1497"/>
      <c r="Q228" s="2"/>
    </row>
    <row r="229" spans="1:17" ht="45.75">
      <c r="A229" s="1952" t="s">
        <v>840</v>
      </c>
      <c r="B229" s="1953"/>
      <c r="C229" s="1953"/>
      <c r="D229" s="1953"/>
      <c r="E229" s="1953"/>
      <c r="F229" s="1953"/>
      <c r="G229" s="1954"/>
      <c r="H229" s="592" t="s">
        <v>841</v>
      </c>
      <c r="I229" s="614" t="s">
        <v>881</v>
      </c>
      <c r="J229" s="614" t="s">
        <v>861</v>
      </c>
      <c r="K229" s="659" t="s">
        <v>850</v>
      </c>
      <c r="L229" s="659"/>
      <c r="M229" s="660"/>
      <c r="N229" s="2"/>
      <c r="O229" s="2"/>
      <c r="P229" s="1497"/>
      <c r="Q229" s="2"/>
    </row>
    <row r="230" spans="1:17" ht="15.75">
      <c r="A230" s="639"/>
      <c r="B230" s="17" t="s">
        <v>97</v>
      </c>
      <c r="C230" s="34"/>
      <c r="D230" s="2"/>
      <c r="E230" s="2"/>
      <c r="F230" s="703"/>
      <c r="G230" s="618"/>
      <c r="H230" s="704"/>
      <c r="I230" s="37"/>
      <c r="J230" s="35"/>
      <c r="K230" s="2"/>
      <c r="L230" s="2"/>
      <c r="M230" s="635"/>
      <c r="N230" s="2"/>
      <c r="O230" s="2"/>
      <c r="P230" s="1497"/>
      <c r="Q230" s="2"/>
    </row>
    <row r="231" spans="1:17" ht="15.75">
      <c r="A231" s="634"/>
      <c r="B231" s="17"/>
      <c r="C231" s="34"/>
      <c r="D231" s="2"/>
      <c r="E231" s="2"/>
      <c r="F231" s="703"/>
      <c r="G231" s="618"/>
      <c r="H231" s="704"/>
      <c r="I231" s="37"/>
      <c r="J231" s="35"/>
      <c r="K231" s="2"/>
      <c r="L231" s="2"/>
      <c r="M231" s="635"/>
      <c r="N231" s="2"/>
      <c r="O231" s="2"/>
      <c r="P231" s="1497"/>
      <c r="Q231" s="2"/>
    </row>
    <row r="232" spans="1:17" ht="15.75">
      <c r="A232" s="705" t="s">
        <v>882</v>
      </c>
      <c r="B232" s="17"/>
      <c r="C232" s="2"/>
      <c r="D232" s="2"/>
      <c r="E232" s="2"/>
      <c r="F232" s="703"/>
      <c r="G232" s="618"/>
      <c r="H232" s="704"/>
      <c r="I232" s="37"/>
      <c r="J232" s="35"/>
      <c r="K232" s="2"/>
      <c r="L232" s="2"/>
      <c r="M232" s="635"/>
      <c r="N232" s="2"/>
      <c r="O232" s="2"/>
      <c r="P232" s="1497"/>
      <c r="Q232" s="2"/>
    </row>
    <row r="233" spans="1:17" ht="15.75">
      <c r="A233" s="634"/>
      <c r="B233" s="17"/>
      <c r="C233" s="34"/>
      <c r="D233" s="2"/>
      <c r="E233" s="2"/>
      <c r="F233" s="703"/>
      <c r="G233" s="618"/>
      <c r="H233" s="706"/>
      <c r="I233" s="707"/>
      <c r="J233" s="708"/>
      <c r="K233" s="709"/>
      <c r="L233" s="2"/>
      <c r="M233" s="635"/>
      <c r="N233" s="2"/>
      <c r="O233" s="2"/>
      <c r="P233" s="1497"/>
      <c r="Q233" s="2"/>
    </row>
    <row r="234" spans="1:17" ht="15.75">
      <c r="A234" s="634"/>
      <c r="B234" s="17"/>
      <c r="C234" s="2" t="s">
        <v>883</v>
      </c>
      <c r="D234" s="2"/>
      <c r="E234" s="2"/>
      <c r="F234" s="2"/>
      <c r="G234" s="635"/>
      <c r="H234" s="706"/>
      <c r="I234" s="707"/>
      <c r="J234" s="708"/>
      <c r="K234" s="709"/>
      <c r="L234" s="2"/>
      <c r="M234" s="635"/>
      <c r="N234" s="2"/>
      <c r="O234" s="2"/>
      <c r="P234" s="1499"/>
      <c r="Q234" s="2"/>
    </row>
    <row r="235" spans="1:17" ht="15.75">
      <c r="A235" s="634"/>
      <c r="B235" s="17"/>
      <c r="C235" s="710" t="s">
        <v>884</v>
      </c>
      <c r="D235" s="2"/>
      <c r="E235" s="2"/>
      <c r="F235" s="2"/>
      <c r="G235" s="1845" t="s">
        <v>2032</v>
      </c>
      <c r="H235" s="711">
        <v>2904180.29</v>
      </c>
      <c r="I235" s="711">
        <f>H235</f>
        <v>2904180.29</v>
      </c>
      <c r="J235" s="712"/>
      <c r="K235" s="534"/>
      <c r="L235" s="2"/>
      <c r="M235" s="635"/>
      <c r="N235" s="2"/>
      <c r="O235" s="2"/>
      <c r="P235" s="1499"/>
      <c r="Q235" s="2"/>
    </row>
    <row r="236" spans="1:17" ht="15.75">
      <c r="A236" s="634"/>
      <c r="B236" s="17"/>
      <c r="C236" s="710" t="s">
        <v>885</v>
      </c>
      <c r="D236" s="2"/>
      <c r="E236" s="2"/>
      <c r="F236" s="2"/>
      <c r="G236" s="1845" t="s">
        <v>2033</v>
      </c>
      <c r="H236" s="711">
        <v>2263647.9199999995</v>
      </c>
      <c r="I236" s="711"/>
      <c r="J236" s="711">
        <f>+H236</f>
        <v>2263647.9199999995</v>
      </c>
      <c r="K236" s="534"/>
      <c r="L236" s="2"/>
      <c r="M236" s="635"/>
      <c r="N236" s="2"/>
      <c r="O236" s="2"/>
      <c r="P236" s="1499"/>
      <c r="Q236" s="2"/>
    </row>
    <row r="237" spans="1:17" ht="15.75">
      <c r="A237" s="634"/>
      <c r="B237" s="17"/>
      <c r="C237" s="710" t="s">
        <v>886</v>
      </c>
      <c r="D237" s="2"/>
      <c r="E237" s="2"/>
      <c r="F237" s="2"/>
      <c r="G237" s="1845" t="s">
        <v>2034</v>
      </c>
      <c r="H237" s="711">
        <v>194382.36000000016</v>
      </c>
      <c r="I237" s="711">
        <f>H237</f>
        <v>194382.36000000016</v>
      </c>
      <c r="J237" s="711"/>
      <c r="K237" s="534"/>
      <c r="L237" s="2"/>
      <c r="M237" s="635"/>
      <c r="N237" s="2"/>
      <c r="O237" s="2"/>
      <c r="P237" s="1499"/>
      <c r="Q237" s="2"/>
    </row>
    <row r="238" spans="1:17" ht="15.75">
      <c r="A238" s="634"/>
      <c r="B238" s="17"/>
      <c r="C238" s="710" t="s">
        <v>887</v>
      </c>
      <c r="D238" s="2"/>
      <c r="E238" s="2"/>
      <c r="F238" s="2"/>
      <c r="G238" s="1845" t="s">
        <v>2152</v>
      </c>
      <c r="H238" s="711">
        <v>1806076.8800000006</v>
      </c>
      <c r="I238" s="711">
        <v>494334.63</v>
      </c>
      <c r="J238" s="711">
        <v>1311742.2500000005</v>
      </c>
      <c r="K238" s="534"/>
      <c r="L238" s="2"/>
      <c r="M238" s="635"/>
      <c r="N238" s="2"/>
      <c r="O238" s="666"/>
      <c r="P238" s="1499"/>
      <c r="Q238" s="2"/>
    </row>
    <row r="239" spans="1:17" ht="15.75">
      <c r="A239" s="634">
        <f>+'Appendix A'!A130</f>
        <v>67</v>
      </c>
      <c r="B239" s="17"/>
      <c r="C239" s="713" t="s">
        <v>111</v>
      </c>
      <c r="D239" s="47"/>
      <c r="E239" s="47"/>
      <c r="F239" s="47"/>
      <c r="G239" s="714" t="s">
        <v>888</v>
      </c>
      <c r="H239" s="715">
        <f>SUM(H235:H238)</f>
        <v>7168287.4500000002</v>
      </c>
      <c r="I239" s="716">
        <f>SUM(I235:I238)</f>
        <v>3592897.2800000003</v>
      </c>
      <c r="J239" s="717">
        <f>SUM(J235:J238)</f>
        <v>3575390.17</v>
      </c>
      <c r="K239" s="709"/>
      <c r="L239" s="2"/>
      <c r="M239" s="635"/>
      <c r="N239" s="2"/>
      <c r="O239" s="2"/>
      <c r="P239" s="1499"/>
      <c r="Q239" s="2"/>
    </row>
    <row r="240" spans="1:17" ht="16.5" thickBot="1">
      <c r="A240" s="718"/>
      <c r="B240" s="653"/>
      <c r="C240" s="654"/>
      <c r="D240" s="655"/>
      <c r="E240" s="655"/>
      <c r="F240" s="655"/>
      <c r="G240" s="671"/>
      <c r="H240" s="657"/>
      <c r="I240" s="658"/>
      <c r="J240" s="658"/>
      <c r="K240" s="1944"/>
      <c r="L240" s="1944"/>
      <c r="M240" s="1945"/>
      <c r="N240" s="2"/>
      <c r="O240" s="2"/>
      <c r="P240" s="1497"/>
      <c r="Q240" s="2"/>
    </row>
    <row r="241" spans="1:17" ht="15.75">
      <c r="A241" s="2"/>
      <c r="B241" s="2"/>
      <c r="C241" s="2"/>
      <c r="D241" s="2"/>
      <c r="E241" s="2"/>
      <c r="F241" s="2"/>
      <c r="G241" s="2"/>
      <c r="H241" s="2"/>
      <c r="I241" s="2"/>
      <c r="J241" s="2"/>
      <c r="K241" s="2"/>
      <c r="L241" s="2"/>
      <c r="M241" s="2"/>
      <c r="N241" s="2"/>
      <c r="O241" s="2"/>
      <c r="P241" s="1497"/>
      <c r="Q241" s="2"/>
    </row>
    <row r="242" spans="1:17" ht="15.75">
      <c r="A242" s="2"/>
      <c r="B242" s="2"/>
      <c r="C242" s="2"/>
      <c r="D242" s="2"/>
      <c r="E242" s="2"/>
      <c r="F242" s="2"/>
      <c r="G242" s="2"/>
      <c r="H242" s="2"/>
      <c r="I242" s="2"/>
      <c r="J242" s="2"/>
      <c r="K242" s="2"/>
      <c r="L242" s="2"/>
      <c r="M242" s="2"/>
      <c r="N242" s="2"/>
      <c r="O242" s="2"/>
      <c r="P242" s="1497"/>
      <c r="Q242" s="2"/>
    </row>
    <row r="243" spans="1:17" ht="16.5" thickBot="1">
      <c r="A243" s="612" t="s">
        <v>889</v>
      </c>
      <c r="B243" s="2"/>
      <c r="C243" s="2"/>
      <c r="D243" s="2"/>
      <c r="E243" s="2"/>
      <c r="F243" s="2"/>
      <c r="G243" s="2"/>
      <c r="H243" s="2"/>
      <c r="I243" s="2"/>
      <c r="J243" s="2"/>
      <c r="K243" s="2"/>
      <c r="L243" s="2"/>
      <c r="M243" s="2"/>
      <c r="N243" s="2"/>
      <c r="O243" s="2"/>
      <c r="P243" s="1497"/>
      <c r="Q243" s="2"/>
    </row>
    <row r="244" spans="1:17" ht="30.75">
      <c r="A244" s="1952" t="s">
        <v>840</v>
      </c>
      <c r="B244" s="1953"/>
      <c r="C244" s="1953"/>
      <c r="D244" s="1953"/>
      <c r="E244" s="1953"/>
      <c r="F244" s="1953"/>
      <c r="G244" s="1954"/>
      <c r="H244" s="614" t="s">
        <v>841</v>
      </c>
      <c r="I244" s="614" t="s">
        <v>890</v>
      </c>
      <c r="J244" s="614" t="s">
        <v>891</v>
      </c>
      <c r="K244" s="659" t="s">
        <v>850</v>
      </c>
      <c r="L244" s="659"/>
      <c r="M244" s="660"/>
      <c r="N244" s="2"/>
      <c r="O244" s="2"/>
      <c r="P244" s="1497"/>
      <c r="Q244" s="2"/>
    </row>
    <row r="245" spans="1:17" ht="15.75">
      <c r="A245" s="634"/>
      <c r="B245" s="17" t="s">
        <v>97</v>
      </c>
      <c r="C245" s="2"/>
      <c r="D245" s="2"/>
      <c r="E245" s="2"/>
      <c r="F245" s="37"/>
      <c r="G245" s="635"/>
      <c r="H245" s="2"/>
      <c r="I245" s="35"/>
      <c r="J245" s="2"/>
      <c r="K245" s="2"/>
      <c r="L245" s="2"/>
      <c r="M245" s="635"/>
      <c r="N245" s="2"/>
      <c r="O245" s="2"/>
      <c r="P245" s="1497"/>
      <c r="Q245" s="2"/>
    </row>
    <row r="246" spans="1:17" ht="15.75">
      <c r="A246" s="634">
        <f>+'Appendix A'!A131</f>
        <v>68</v>
      </c>
      <c r="B246" s="98"/>
      <c r="C246" s="34" t="str">
        <f>+'Appendix A'!C131</f>
        <v xml:space="preserve">General Advertising Exp Account 930.1 - Safety-related Advertising </v>
      </c>
      <c r="D246" s="2"/>
      <c r="E246" s="2"/>
      <c r="F246" s="61"/>
      <c r="G246" s="719" t="s">
        <v>1859</v>
      </c>
      <c r="H246" s="41">
        <f>INDEX(Inputs_EndYrBal,MATCH(G246,Inputs_FF1_Map,0))</f>
        <v>203856</v>
      </c>
      <c r="I246" s="720">
        <v>0</v>
      </c>
      <c r="J246" s="721">
        <f>H246-I246</f>
        <v>203856</v>
      </c>
      <c r="K246" s="722" t="s">
        <v>892</v>
      </c>
      <c r="L246" s="722"/>
      <c r="M246" s="635"/>
      <c r="N246" s="2"/>
      <c r="O246" s="666"/>
      <c r="P246" s="1499"/>
      <c r="Q246" s="2"/>
    </row>
    <row r="247" spans="1:17" ht="16.5" thickBot="1">
      <c r="A247" s="652"/>
      <c r="B247" s="653"/>
      <c r="C247" s="654"/>
      <c r="D247" s="154"/>
      <c r="E247" s="154"/>
      <c r="F247" s="655"/>
      <c r="G247" s="671"/>
      <c r="H247" s="723"/>
      <c r="I247" s="723"/>
      <c r="J247" s="723"/>
      <c r="K247" s="724"/>
      <c r="L247" s="724"/>
      <c r="M247" s="725"/>
      <c r="N247" s="2"/>
      <c r="O247" s="2"/>
      <c r="P247" s="1497"/>
      <c r="Q247" s="2"/>
    </row>
    <row r="248" spans="1:17" ht="15.75">
      <c r="A248" s="39"/>
      <c r="B248" s="98"/>
      <c r="C248" s="34"/>
      <c r="D248" s="2"/>
      <c r="E248" s="2"/>
      <c r="F248" s="61"/>
      <c r="G248" s="34"/>
      <c r="H248" s="35"/>
      <c r="I248" s="35"/>
      <c r="J248" s="35"/>
      <c r="K248" s="675"/>
      <c r="L248" s="36"/>
      <c r="M248" s="36"/>
      <c r="N248" s="2"/>
      <c r="O248" s="2"/>
      <c r="P248" s="1497"/>
      <c r="Q248" s="2"/>
    </row>
    <row r="249" spans="1:17" ht="15.75">
      <c r="A249" s="2"/>
      <c r="B249" s="2"/>
      <c r="C249" s="2"/>
      <c r="D249" s="2"/>
      <c r="E249" s="2"/>
      <c r="F249" s="2"/>
      <c r="G249" s="2"/>
      <c r="H249" s="2"/>
      <c r="I249" s="2"/>
      <c r="J249" s="2"/>
      <c r="K249" s="2"/>
      <c r="L249" s="2"/>
      <c r="M249" s="2"/>
      <c r="N249" s="2"/>
      <c r="O249" s="2"/>
      <c r="P249" s="1497"/>
      <c r="Q249" s="2"/>
    </row>
    <row r="250" spans="1:17" ht="16.5" thickBot="1">
      <c r="A250" s="612" t="s">
        <v>893</v>
      </c>
      <c r="B250" s="2"/>
      <c r="C250" s="2"/>
      <c r="D250" s="2"/>
      <c r="E250" s="2"/>
      <c r="F250" s="2"/>
      <c r="G250" s="2"/>
      <c r="H250" s="2"/>
      <c r="I250" s="2"/>
      <c r="J250" s="2"/>
      <c r="K250" s="2"/>
      <c r="L250" s="2"/>
      <c r="M250" s="2"/>
      <c r="N250" s="2"/>
      <c r="O250" s="2"/>
      <c r="P250" s="1497"/>
      <c r="Q250" s="2"/>
    </row>
    <row r="251" spans="1:17" ht="45.75">
      <c r="A251" s="1952" t="s">
        <v>840</v>
      </c>
      <c r="B251" s="1953"/>
      <c r="C251" s="1953"/>
      <c r="D251" s="1953"/>
      <c r="E251" s="1953"/>
      <c r="F251" s="1953"/>
      <c r="G251" s="1954"/>
      <c r="H251" s="614" t="s">
        <v>841</v>
      </c>
      <c r="I251" s="614" t="s">
        <v>894</v>
      </c>
      <c r="J251" s="614" t="s">
        <v>895</v>
      </c>
      <c r="K251" s="1955" t="s">
        <v>850</v>
      </c>
      <c r="L251" s="1955"/>
      <c r="M251" s="1956"/>
      <c r="N251" s="2"/>
      <c r="O251" s="2"/>
      <c r="P251" s="1497"/>
      <c r="Q251" s="2"/>
    </row>
    <row r="252" spans="1:17" ht="15.75">
      <c r="A252" s="634"/>
      <c r="B252" s="17" t="s">
        <v>97</v>
      </c>
      <c r="C252" s="2"/>
      <c r="D252" s="2"/>
      <c r="E252" s="2"/>
      <c r="F252" s="37"/>
      <c r="G252" s="635"/>
      <c r="H252" s="2"/>
      <c r="I252" s="35"/>
      <c r="J252" s="2"/>
      <c r="K252" s="2"/>
      <c r="L252" s="2"/>
      <c r="M252" s="635"/>
      <c r="N252" s="2"/>
      <c r="O252" s="2"/>
      <c r="P252" s="1497"/>
      <c r="Q252" s="2"/>
    </row>
    <row r="253" spans="1:17" ht="15.75">
      <c r="A253" s="634">
        <f>+'Appendix A'!A135</f>
        <v>71</v>
      </c>
      <c r="B253" s="98"/>
      <c r="C253" s="34" t="str">
        <f>+'Appendix A'!C135</f>
        <v xml:space="preserve">General Advertising Exp Account 930.1 - Education and Outreach </v>
      </c>
      <c r="D253" s="726"/>
      <c r="E253" s="726"/>
      <c r="F253" s="61"/>
      <c r="G253" s="719" t="s">
        <v>1859</v>
      </c>
      <c r="H253" s="41">
        <f>INDEX(Inputs_EndYrBal,MATCH(G253,Inputs_FF1_Map,0))</f>
        <v>203856</v>
      </c>
      <c r="I253" s="720">
        <v>60000</v>
      </c>
      <c r="J253" s="727">
        <f>H253-I253</f>
        <v>143856</v>
      </c>
      <c r="K253" s="728" t="str">
        <f>+K246</f>
        <v>Based on FERC 930.1 download</v>
      </c>
      <c r="L253" s="728"/>
      <c r="M253" s="635"/>
      <c r="N253" s="1499"/>
      <c r="O253" s="666"/>
      <c r="Q253" s="2"/>
    </row>
    <row r="254" spans="1:17" ht="16.5" thickBot="1">
      <c r="A254" s="652"/>
      <c r="B254" s="653"/>
      <c r="C254" s="654"/>
      <c r="D254" s="729"/>
      <c r="E254" s="729"/>
      <c r="F254" s="655"/>
      <c r="G254" s="671"/>
      <c r="H254" s="730"/>
      <c r="I254" s="723"/>
      <c r="J254" s="730"/>
      <c r="K254" s="731"/>
      <c r="L254" s="731"/>
      <c r="M254" s="732"/>
      <c r="N254" s="2"/>
      <c r="O254" s="2"/>
      <c r="P254" s="1497"/>
      <c r="Q254" s="2"/>
    </row>
    <row r="255" spans="1:17" ht="15.75">
      <c r="A255" s="2"/>
      <c r="B255" s="2"/>
      <c r="C255" s="2"/>
      <c r="D255" s="2"/>
      <c r="E255" s="2"/>
      <c r="F255" s="2"/>
      <c r="G255" s="2"/>
      <c r="H255" s="2"/>
      <c r="I255" s="2"/>
      <c r="J255" s="2"/>
      <c r="K255" s="2"/>
      <c r="L255" s="2"/>
      <c r="M255" s="2"/>
      <c r="N255" s="2"/>
      <c r="O255" s="2"/>
      <c r="P255" s="1497"/>
      <c r="Q255" s="2"/>
    </row>
    <row r="256" spans="1:17" ht="15.75">
      <c r="A256" s="2"/>
      <c r="B256" s="2"/>
      <c r="C256" s="2"/>
      <c r="D256" s="2"/>
      <c r="E256" s="2"/>
      <c r="F256" s="2"/>
      <c r="G256" s="2"/>
      <c r="H256" s="2"/>
      <c r="I256" s="2"/>
      <c r="J256" s="2"/>
      <c r="K256" s="2"/>
      <c r="L256" s="2"/>
      <c r="M256" s="2"/>
      <c r="N256" s="2"/>
      <c r="O256" s="2"/>
      <c r="P256" s="1497"/>
      <c r="Q256" s="2"/>
    </row>
    <row r="257" spans="1:17" ht="16.5" thickBot="1">
      <c r="A257" s="612" t="s">
        <v>896</v>
      </c>
      <c r="B257" s="2"/>
      <c r="C257" s="2"/>
      <c r="D257" s="2"/>
      <c r="E257" s="2"/>
      <c r="F257" s="2"/>
      <c r="G257" s="2"/>
      <c r="H257" s="2"/>
      <c r="I257" s="2"/>
      <c r="J257" s="2"/>
      <c r="K257" s="2"/>
      <c r="L257" s="2"/>
      <c r="M257" s="2"/>
      <c r="N257" s="2"/>
      <c r="O257" s="2"/>
      <c r="P257" s="1497"/>
      <c r="Q257" s="2"/>
    </row>
    <row r="258" spans="1:17" ht="15.75">
      <c r="A258" s="1952" t="s">
        <v>840</v>
      </c>
      <c r="B258" s="1953"/>
      <c r="C258" s="1953"/>
      <c r="D258" s="1953"/>
      <c r="E258" s="1953"/>
      <c r="F258" s="1953"/>
      <c r="G258" s="1954"/>
      <c r="H258" s="614"/>
      <c r="I258" s="659" t="s">
        <v>850</v>
      </c>
      <c r="J258" s="614"/>
      <c r="K258" s="614"/>
      <c r="L258" s="614"/>
      <c r="M258" s="660"/>
      <c r="N258" s="2"/>
      <c r="O258" s="2"/>
      <c r="P258" s="1497"/>
      <c r="Q258" s="2"/>
    </row>
    <row r="259" spans="1:17" ht="15.75">
      <c r="A259" s="634" t="s">
        <v>175</v>
      </c>
      <c r="B259" s="184" t="s">
        <v>176</v>
      </c>
      <c r="C259" s="2"/>
      <c r="D259" s="2"/>
      <c r="E259" s="2"/>
      <c r="F259" s="37"/>
      <c r="G259" s="624"/>
      <c r="H259" s="2"/>
      <c r="I259" s="2"/>
      <c r="J259" s="2"/>
      <c r="K259" s="2"/>
      <c r="L259" s="2"/>
      <c r="M259" s="635"/>
      <c r="N259" s="2"/>
      <c r="O259" s="2"/>
      <c r="P259" s="1497"/>
      <c r="Q259" s="2"/>
    </row>
    <row r="260" spans="1:17" ht="15.75">
      <c r="A260" s="634">
        <f>+'Appendix A'!A228</f>
        <v>129</v>
      </c>
      <c r="B260" s="39"/>
      <c r="C260" s="34" t="str">
        <f>+'Appendix A'!C228</f>
        <v>SIT = State Income Tax Rate or Composite</v>
      </c>
      <c r="D260" s="2"/>
      <c r="E260" s="39" t="str">
        <f>'Appendix A'!E228</f>
        <v>(Note G)</v>
      </c>
      <c r="F260" s="2"/>
      <c r="G260" s="618"/>
      <c r="H260" s="733">
        <f>Inputs!E92</f>
        <v>4.5400000000000003E-2</v>
      </c>
      <c r="I260" s="734" t="s">
        <v>897</v>
      </c>
      <c r="J260" s="39"/>
      <c r="K260" s="2"/>
      <c r="L260" s="39"/>
      <c r="M260" s="635"/>
      <c r="N260" s="2"/>
      <c r="O260" s="2"/>
      <c r="P260" s="1498" t="s">
        <v>844</v>
      </c>
      <c r="Q260" s="2"/>
    </row>
    <row r="261" spans="1:17" ht="16.5" thickBot="1">
      <c r="A261" s="718"/>
      <c r="B261" s="154"/>
      <c r="C261" s="154"/>
      <c r="D261" s="154"/>
      <c r="E261" s="154"/>
      <c r="F261" s="154"/>
      <c r="G261" s="656"/>
      <c r="H261" s="154"/>
      <c r="I261" s="154"/>
      <c r="J261" s="154"/>
      <c r="K261" s="154"/>
      <c r="L261" s="154"/>
      <c r="M261" s="656"/>
      <c r="N261" s="2"/>
      <c r="O261" s="2"/>
      <c r="P261" s="1497"/>
      <c r="Q261" s="2"/>
    </row>
    <row r="262" spans="1:17" ht="15.75">
      <c r="A262" s="2"/>
      <c r="B262" s="2"/>
      <c r="C262" s="2"/>
      <c r="D262" s="2"/>
      <c r="E262" s="2"/>
      <c r="F262" s="2"/>
      <c r="G262" s="2"/>
      <c r="H262" s="2"/>
      <c r="I262" s="2"/>
      <c r="J262" s="2"/>
      <c r="K262" s="2"/>
      <c r="L262" s="2"/>
      <c r="M262" s="2"/>
      <c r="N262" s="2"/>
      <c r="O262" s="2"/>
      <c r="P262" s="1497"/>
      <c r="Q262" s="2"/>
    </row>
    <row r="263" spans="1:17" ht="15.75">
      <c r="A263" s="2"/>
      <c r="B263" s="2"/>
      <c r="C263" s="2"/>
      <c r="D263" s="2"/>
      <c r="E263" s="2"/>
      <c r="F263" s="2"/>
      <c r="G263" s="2"/>
      <c r="H263" s="2"/>
      <c r="I263" s="2"/>
      <c r="J263" s="2"/>
      <c r="K263" s="2"/>
      <c r="L263" s="2"/>
      <c r="M263" s="2"/>
      <c r="N263" s="2"/>
      <c r="O263" s="2"/>
      <c r="P263" s="1497"/>
      <c r="Q263" s="2"/>
    </row>
    <row r="264" spans="1:17" ht="16.5" thickBot="1">
      <c r="A264" s="612" t="s">
        <v>898</v>
      </c>
      <c r="B264" s="39"/>
      <c r="C264" s="39"/>
      <c r="D264" s="39"/>
      <c r="E264" s="39"/>
      <c r="F264" s="61"/>
      <c r="G264" s="39"/>
      <c r="H264" s="2"/>
      <c r="I264" s="2"/>
      <c r="J264" s="2"/>
      <c r="K264" s="2"/>
      <c r="L264" s="735"/>
      <c r="M264" s="2"/>
      <c r="N264" s="2"/>
      <c r="O264" s="39"/>
      <c r="P264" s="736"/>
      <c r="Q264" s="34"/>
    </row>
    <row r="265" spans="1:17" ht="30.75">
      <c r="A265" s="1952" t="s">
        <v>840</v>
      </c>
      <c r="B265" s="1953"/>
      <c r="C265" s="1953"/>
      <c r="D265" s="1953"/>
      <c r="E265" s="1953"/>
      <c r="F265" s="1953"/>
      <c r="G265" s="1954"/>
      <c r="H265" s="614" t="s">
        <v>111</v>
      </c>
      <c r="I265" s="614" t="s">
        <v>899</v>
      </c>
      <c r="J265" s="614" t="s">
        <v>881</v>
      </c>
      <c r="K265" s="1955" t="s">
        <v>850</v>
      </c>
      <c r="L265" s="1955"/>
      <c r="M265" s="1956"/>
      <c r="N265" s="2"/>
      <c r="O265" s="39"/>
      <c r="P265" s="736"/>
      <c r="Q265" s="34"/>
    </row>
    <row r="266" spans="1:17" ht="15.75">
      <c r="A266" s="634"/>
      <c r="B266" s="39"/>
      <c r="C266" s="34"/>
      <c r="D266" s="39"/>
      <c r="E266" s="39"/>
      <c r="F266" s="39"/>
      <c r="G266" s="640"/>
      <c r="H266" s="39"/>
      <c r="I266" s="39"/>
      <c r="J266" s="34"/>
      <c r="K266" s="39"/>
      <c r="L266" s="39"/>
      <c r="M266" s="635"/>
      <c r="N266" s="39"/>
      <c r="O266" s="39"/>
      <c r="P266" s="736"/>
      <c r="Q266" s="34"/>
    </row>
    <row r="267" spans="1:17" ht="15.75">
      <c r="A267" s="634">
        <f>'Appendix A'!A112</f>
        <v>53</v>
      </c>
      <c r="B267" s="39"/>
      <c r="C267" s="97" t="str">
        <f>'Appendix A'!C112</f>
        <v>Transmission O&amp;M</v>
      </c>
      <c r="D267" s="39"/>
      <c r="E267" s="39"/>
      <c r="F267" s="61"/>
      <c r="G267" s="737" t="s">
        <v>1872</v>
      </c>
      <c r="H267" s="41">
        <f>INDEX(Inputs_EndYrBal,MATCH(G267,Inputs_FF1_Map,0))</f>
        <v>272278523</v>
      </c>
      <c r="I267" s="43">
        <f>Inputs!E98+Inputs!E99+Inputs!E100</f>
        <v>-827559.73999999987</v>
      </c>
      <c r="J267" s="738">
        <f>H267+I267</f>
        <v>271450963.25999999</v>
      </c>
      <c r="K267" s="2"/>
      <c r="L267" s="39"/>
      <c r="M267" s="635"/>
      <c r="N267" s="39"/>
      <c r="O267" s="739"/>
      <c r="P267" s="1498" t="s">
        <v>844</v>
      </c>
      <c r="Q267" s="34"/>
    </row>
    <row r="268" spans="1:17" ht="15.75">
      <c r="A268" s="634"/>
      <c r="B268" s="39"/>
      <c r="C268" s="34"/>
      <c r="D268" s="39"/>
      <c r="E268" s="39"/>
      <c r="F268" s="61"/>
      <c r="G268" s="740"/>
      <c r="H268" s="45"/>
      <c r="I268" s="92"/>
      <c r="J268" s="99"/>
      <c r="K268" s="2"/>
      <c r="L268" s="39"/>
      <c r="M268" s="635"/>
      <c r="N268" s="39"/>
      <c r="O268" s="739"/>
      <c r="P268" s="1498" t="s">
        <v>844</v>
      </c>
      <c r="Q268" s="34"/>
    </row>
    <row r="269" spans="1:17" ht="15.75">
      <c r="A269" s="634"/>
      <c r="B269" s="39"/>
      <c r="C269" s="17" t="s">
        <v>900</v>
      </c>
      <c r="D269" s="39"/>
      <c r="E269" s="39"/>
      <c r="F269" s="61"/>
      <c r="G269" s="740"/>
      <c r="H269" s="45"/>
      <c r="I269" s="92"/>
      <c r="J269" s="99"/>
      <c r="K269" s="2"/>
      <c r="L269" s="39"/>
      <c r="M269" s="635"/>
      <c r="N269" s="39"/>
      <c r="O269" s="739"/>
      <c r="P269" s="1498" t="s">
        <v>844</v>
      </c>
      <c r="Q269" s="34"/>
    </row>
    <row r="270" spans="1:17" ht="15.75">
      <c r="A270" s="634"/>
      <c r="B270" s="39"/>
      <c r="C270" s="689" t="s">
        <v>901</v>
      </c>
      <c r="D270" s="39"/>
      <c r="E270" s="39"/>
      <c r="F270" s="61"/>
      <c r="G270" s="737" t="s">
        <v>1873</v>
      </c>
      <c r="H270" s="41">
        <f t="shared" ref="H270:H275" si="12">INDEX(Inputs_EndYrBal,MATCH(G270,Inputs_FF1_Map,0))</f>
        <v>0</v>
      </c>
      <c r="I270" s="92"/>
      <c r="J270" s="99"/>
      <c r="K270" s="2"/>
      <c r="L270" s="39"/>
      <c r="M270" s="635"/>
      <c r="N270" s="39"/>
      <c r="O270" s="739"/>
      <c r="P270" s="1498" t="s">
        <v>844</v>
      </c>
      <c r="Q270" s="34"/>
    </row>
    <row r="271" spans="1:17" ht="15.75">
      <c r="A271" s="634"/>
      <c r="B271" s="39"/>
      <c r="C271" s="689" t="s">
        <v>287</v>
      </c>
      <c r="D271" s="39"/>
      <c r="E271" s="39"/>
      <c r="F271" s="61"/>
      <c r="G271" s="737" t="s">
        <v>1860</v>
      </c>
      <c r="H271" s="41">
        <f t="shared" si="12"/>
        <v>0</v>
      </c>
      <c r="I271" s="92"/>
      <c r="J271" s="99"/>
      <c r="K271" s="2"/>
      <c r="L271" s="39"/>
      <c r="M271" s="635"/>
      <c r="N271" s="39"/>
      <c r="O271" s="739"/>
      <c r="P271" s="1498" t="s">
        <v>844</v>
      </c>
      <c r="Q271" s="34"/>
    </row>
    <row r="272" spans="1:17" ht="15.75">
      <c r="A272" s="634"/>
      <c r="B272" s="39"/>
      <c r="C272" s="689" t="s">
        <v>288</v>
      </c>
      <c r="D272" s="39"/>
      <c r="E272" s="39"/>
      <c r="F272" s="61"/>
      <c r="G272" s="737" t="s">
        <v>1861</v>
      </c>
      <c r="H272" s="41">
        <f>INDEX(Inputs_EndYrBal,MATCH(G272,Inputs_FF1_Map,0))</f>
        <v>8449519</v>
      </c>
      <c r="I272" s="92"/>
      <c r="J272" s="99"/>
      <c r="K272" s="2"/>
      <c r="L272" s="39"/>
      <c r="M272" s="635"/>
      <c r="N272" s="39"/>
      <c r="O272" s="739"/>
      <c r="P272" s="1498" t="s">
        <v>844</v>
      </c>
      <c r="Q272" s="34"/>
    </row>
    <row r="273" spans="1:17" ht="15.75">
      <c r="A273" s="634"/>
      <c r="B273" s="39"/>
      <c r="C273" s="689" t="s">
        <v>289</v>
      </c>
      <c r="D273" s="39"/>
      <c r="E273" s="39"/>
      <c r="F273" s="61"/>
      <c r="G273" s="737" t="s">
        <v>1862</v>
      </c>
      <c r="H273" s="41">
        <f t="shared" si="12"/>
        <v>0</v>
      </c>
      <c r="I273" s="92"/>
      <c r="J273" s="99"/>
      <c r="K273" s="2"/>
      <c r="L273" s="39"/>
      <c r="M273" s="635"/>
      <c r="N273" s="39"/>
      <c r="O273" s="739"/>
      <c r="P273" s="1498" t="s">
        <v>844</v>
      </c>
      <c r="Q273" s="34"/>
    </row>
    <row r="274" spans="1:17" ht="15.75">
      <c r="A274" s="634"/>
      <c r="B274" s="39"/>
      <c r="C274" s="689" t="s">
        <v>290</v>
      </c>
      <c r="D274" s="39"/>
      <c r="E274" s="39"/>
      <c r="F274" s="61"/>
      <c r="G274" s="737" t="s">
        <v>1863</v>
      </c>
      <c r="H274" s="41">
        <f t="shared" si="12"/>
        <v>832432</v>
      </c>
      <c r="I274" s="92"/>
      <c r="J274" s="99"/>
      <c r="K274" s="2"/>
      <c r="L274" s="39"/>
      <c r="M274" s="635"/>
      <c r="N274" s="39"/>
      <c r="O274" s="739"/>
      <c r="P274" s="1498" t="s">
        <v>844</v>
      </c>
      <c r="Q274" s="34"/>
    </row>
    <row r="275" spans="1:17" ht="15.75">
      <c r="A275" s="634"/>
      <c r="B275" s="39"/>
      <c r="C275" s="689" t="s">
        <v>291</v>
      </c>
      <c r="D275" s="39"/>
      <c r="E275" s="39"/>
      <c r="F275" s="61"/>
      <c r="G275" s="737" t="s">
        <v>1864</v>
      </c>
      <c r="H275" s="41">
        <f t="shared" si="12"/>
        <v>3114499</v>
      </c>
      <c r="I275" s="92"/>
      <c r="J275" s="99"/>
      <c r="K275" s="2"/>
      <c r="L275" s="39"/>
      <c r="M275" s="635"/>
      <c r="N275" s="39"/>
      <c r="O275" s="739"/>
      <c r="P275" s="1498" t="s">
        <v>844</v>
      </c>
      <c r="Q275" s="34"/>
    </row>
    <row r="276" spans="1:17" ht="15.75">
      <c r="A276" s="634">
        <f>'Appendix A'!A113</f>
        <v>54</v>
      </c>
      <c r="B276" s="39"/>
      <c r="C276" s="97" t="str">
        <f>'Appendix A'!C113</f>
        <v xml:space="preserve">     Less: Cost of Providing Ancillary Services Accounts 561.0-5</v>
      </c>
      <c r="D276" s="39"/>
      <c r="E276" s="39"/>
      <c r="F276" s="61"/>
      <c r="G276" s="741" t="s">
        <v>888</v>
      </c>
      <c r="H276" s="50">
        <f>SUM(H270:H275)</f>
        <v>12396450</v>
      </c>
      <c r="I276" s="742">
        <v>0</v>
      </c>
      <c r="J276" s="738">
        <f>H276-I276</f>
        <v>12396450</v>
      </c>
      <c r="K276" s="2" t="s">
        <v>900</v>
      </c>
      <c r="L276" s="39"/>
      <c r="M276" s="635"/>
      <c r="N276" s="39"/>
      <c r="O276" s="739"/>
      <c r="P276" s="1498" t="s">
        <v>844</v>
      </c>
      <c r="Q276" s="34"/>
    </row>
    <row r="277" spans="1:17" ht="15.75">
      <c r="A277" s="634"/>
      <c r="B277" s="39"/>
      <c r="C277" s="34"/>
      <c r="D277" s="39"/>
      <c r="E277" s="39"/>
      <c r="F277" s="61"/>
      <c r="G277" s="740"/>
      <c r="H277" s="45"/>
      <c r="I277" s="92"/>
      <c r="J277" s="99"/>
      <c r="K277" s="2"/>
      <c r="L277" s="39"/>
      <c r="M277" s="635"/>
      <c r="N277" s="39"/>
      <c r="O277" s="739"/>
      <c r="P277" s="1498" t="s">
        <v>844</v>
      </c>
      <c r="Q277" s="34"/>
    </row>
    <row r="278" spans="1:17" ht="15.75">
      <c r="A278" s="634">
        <f>'Appendix A'!A114</f>
        <v>55</v>
      </c>
      <c r="B278" s="39"/>
      <c r="C278" s="97" t="str">
        <f>'Appendix A'!C114</f>
        <v xml:space="preserve">     Less: Account 565</v>
      </c>
      <c r="D278" s="39"/>
      <c r="E278" s="39"/>
      <c r="F278" s="61"/>
      <c r="G278" s="719" t="s">
        <v>1874</v>
      </c>
      <c r="H278" s="41">
        <f>INDEX(Inputs_EndYrBal,MATCH(G278,Inputs_FF1_Map,0))</f>
        <v>176350418</v>
      </c>
      <c r="I278" s="43">
        <v>0</v>
      </c>
      <c r="J278" s="738">
        <f>H278+I278</f>
        <v>176350418</v>
      </c>
      <c r="K278" s="2"/>
      <c r="L278" s="39"/>
      <c r="M278" s="635"/>
      <c r="N278" s="39"/>
      <c r="O278" s="39"/>
      <c r="P278" s="1498" t="s">
        <v>844</v>
      </c>
      <c r="Q278" s="34"/>
    </row>
    <row r="279" spans="1:17" ht="16.5" thickBot="1">
      <c r="A279" s="652"/>
      <c r="B279" s="155"/>
      <c r="C279" s="155"/>
      <c r="D279" s="155"/>
      <c r="E279" s="155"/>
      <c r="F279" s="655"/>
      <c r="G279" s="702"/>
      <c r="H279" s="154"/>
      <c r="I279" s="154"/>
      <c r="J279" s="154"/>
      <c r="K279" s="154"/>
      <c r="L279" s="743"/>
      <c r="M279" s="656"/>
      <c r="N279" s="39"/>
      <c r="O279" s="39"/>
      <c r="P279" s="736"/>
      <c r="Q279" s="34"/>
    </row>
    <row r="280" spans="1:17" ht="15.75">
      <c r="A280" s="39"/>
      <c r="B280" s="39"/>
      <c r="C280" s="39"/>
      <c r="D280" s="39"/>
      <c r="E280" s="39"/>
      <c r="F280" s="61"/>
      <c r="G280" s="39"/>
      <c r="H280" s="2"/>
      <c r="I280" s="2"/>
      <c r="J280" s="2"/>
      <c r="K280" s="2"/>
      <c r="L280" s="735"/>
      <c r="M280" s="2"/>
      <c r="N280" s="39"/>
      <c r="O280" s="39"/>
      <c r="P280" s="736"/>
      <c r="Q280" s="34"/>
    </row>
    <row r="281" spans="1:17" ht="15.75">
      <c r="A281" s="39"/>
      <c r="B281" s="39"/>
      <c r="C281" s="39"/>
      <c r="D281" s="39"/>
      <c r="E281" s="39"/>
      <c r="F281" s="61"/>
      <c r="G281" s="39"/>
      <c r="H281" s="2"/>
      <c r="I281" s="2"/>
      <c r="J281" s="2"/>
      <c r="K281" s="2"/>
      <c r="L281" s="735"/>
      <c r="M281" s="2"/>
      <c r="N281" s="39"/>
      <c r="O281" s="39"/>
      <c r="P281" s="736"/>
      <c r="Q281" s="34"/>
    </row>
    <row r="282" spans="1:17" ht="16.5" thickBot="1">
      <c r="A282" s="612" t="str">
        <f>'Appendix A'!C287</f>
        <v xml:space="preserve">Facility Credits under Section 30.9 of the OATT </v>
      </c>
      <c r="B282" s="2"/>
      <c r="C282" s="2"/>
      <c r="D282" s="2"/>
      <c r="E282" s="2"/>
      <c r="F282" s="2"/>
      <c r="G282" s="2"/>
      <c r="H282" s="2"/>
      <c r="I282" s="2"/>
      <c r="J282" s="2"/>
      <c r="K282" s="2"/>
      <c r="L282" s="2"/>
      <c r="M282" s="2"/>
      <c r="N282" s="2"/>
      <c r="O282" s="2"/>
      <c r="P282" s="1497"/>
      <c r="Q282" s="2"/>
    </row>
    <row r="283" spans="1:17" ht="15.75">
      <c r="A283" s="1952" t="s">
        <v>902</v>
      </c>
      <c r="B283" s="1953"/>
      <c r="C283" s="1953"/>
      <c r="D283" s="1953"/>
      <c r="E283" s="1953"/>
      <c r="F283" s="1953"/>
      <c r="G283" s="1954"/>
      <c r="H283" s="614" t="s">
        <v>286</v>
      </c>
      <c r="I283" s="593" t="s">
        <v>903</v>
      </c>
      <c r="J283" s="659"/>
      <c r="K283" s="659"/>
      <c r="L283" s="659"/>
      <c r="M283" s="660"/>
      <c r="N283" s="2"/>
      <c r="O283" s="2"/>
      <c r="P283" s="1497"/>
      <c r="Q283" s="2"/>
    </row>
    <row r="284" spans="1:17" ht="15.75">
      <c r="A284" s="634"/>
      <c r="B284" s="97" t="str">
        <f>'Appendix A'!C286</f>
        <v>Net Revenue Requirement</v>
      </c>
      <c r="C284" s="2"/>
      <c r="D284" s="2"/>
      <c r="E284" s="2"/>
      <c r="F284" s="39"/>
      <c r="G284" s="635"/>
      <c r="H284" s="2"/>
      <c r="I284" s="2"/>
      <c r="J284" s="2"/>
      <c r="K284" s="2"/>
      <c r="L284" s="2"/>
      <c r="M284" s="635"/>
      <c r="N284" s="2"/>
      <c r="O284" s="2"/>
      <c r="P284" s="1497"/>
      <c r="Q284" s="2"/>
    </row>
    <row r="285" spans="1:17" ht="15.75">
      <c r="A285" s="634">
        <f>'Appendix A'!A287</f>
        <v>166</v>
      </c>
      <c r="B285" s="39"/>
      <c r="C285" s="2" t="str">
        <f>+'Appendix A'!C287</f>
        <v xml:space="preserve">Facility Credits under Section 30.9 of the OATT </v>
      </c>
      <c r="D285" s="2"/>
      <c r="E285" s="2"/>
      <c r="F285" s="39"/>
      <c r="G285" s="640"/>
      <c r="H285" s="744">
        <f>Inputs!E88</f>
        <v>0</v>
      </c>
      <c r="I285" s="2" t="s">
        <v>874</v>
      </c>
      <c r="J285" s="497"/>
      <c r="K285" s="497"/>
      <c r="L285" s="497"/>
      <c r="M285" s="670"/>
      <c r="N285" s="2"/>
      <c r="O285" s="2"/>
      <c r="P285" s="1498" t="s">
        <v>844</v>
      </c>
      <c r="Q285" s="2"/>
    </row>
    <row r="286" spans="1:17" ht="15.75">
      <c r="A286" s="634">
        <f>'Appendix A'!A289</f>
        <v>168</v>
      </c>
      <c r="B286" s="39"/>
      <c r="C286" s="2" t="str">
        <f>'Appendix A'!C289</f>
        <v>Interest on Network Upgrade Facilities</v>
      </c>
      <c r="D286" s="2"/>
      <c r="E286" s="2"/>
      <c r="F286" s="39"/>
      <c r="G286" s="640"/>
      <c r="H286" s="744">
        <f>Inputs!$E$89</f>
        <v>17583283.460000001</v>
      </c>
      <c r="I286" s="2" t="s">
        <v>874</v>
      </c>
      <c r="J286" s="497"/>
      <c r="K286" s="497"/>
      <c r="L286" s="497"/>
      <c r="M286" s="670"/>
      <c r="N286" s="2"/>
      <c r="O286" s="2"/>
      <c r="P286" s="1498" t="s">
        <v>844</v>
      </c>
      <c r="Q286" s="2"/>
    </row>
    <row r="287" spans="1:17" ht="16.5" thickBot="1">
      <c r="A287" s="652"/>
      <c r="B287" s="155"/>
      <c r="C287" s="154"/>
      <c r="D287" s="154"/>
      <c r="E287" s="154"/>
      <c r="F287" s="155"/>
      <c r="G287" s="702"/>
      <c r="H287" s="745"/>
      <c r="I287" s="746"/>
      <c r="J287" s="746"/>
      <c r="K287" s="746"/>
      <c r="L287" s="746"/>
      <c r="M287" s="747"/>
      <c r="N287" s="2"/>
      <c r="O287" s="2"/>
      <c r="P287" s="1497"/>
      <c r="Q287" s="2"/>
    </row>
    <row r="288" spans="1:17" ht="15.75">
      <c r="A288" s="39"/>
      <c r="B288" s="39"/>
      <c r="C288" s="39"/>
      <c r="D288" s="39"/>
      <c r="E288" s="39"/>
      <c r="F288" s="61"/>
      <c r="G288" s="39"/>
      <c r="H288" s="2"/>
      <c r="I288" s="2"/>
      <c r="J288" s="2"/>
      <c r="K288" s="2"/>
      <c r="L288" s="735"/>
      <c r="M288" s="2"/>
      <c r="N288" s="39"/>
      <c r="O288" s="39"/>
      <c r="P288" s="736"/>
      <c r="Q288" s="34"/>
    </row>
    <row r="289" spans="1:17" ht="16.5" thickBot="1">
      <c r="A289" s="612" t="s">
        <v>904</v>
      </c>
      <c r="B289" s="2"/>
      <c r="C289" s="2"/>
      <c r="D289" s="2"/>
      <c r="E289" s="2"/>
      <c r="F289" s="2"/>
      <c r="G289" s="2"/>
      <c r="H289" s="2"/>
      <c r="I289" s="2"/>
      <c r="J289" s="2"/>
      <c r="K289" s="2"/>
      <c r="L289" s="2"/>
      <c r="M289" s="2"/>
      <c r="N289" s="2"/>
      <c r="O289" s="2"/>
      <c r="P289" s="1497"/>
      <c r="Q289" s="2"/>
    </row>
    <row r="290" spans="1:17" ht="15.75">
      <c r="A290" s="1952" t="s">
        <v>840</v>
      </c>
      <c r="B290" s="1953"/>
      <c r="C290" s="1953"/>
      <c r="D290" s="1953"/>
      <c r="E290" s="1953"/>
      <c r="F290" s="1953"/>
      <c r="G290" s="1954"/>
      <c r="H290" s="614" t="s">
        <v>286</v>
      </c>
      <c r="I290" s="593"/>
      <c r="J290" s="593"/>
      <c r="K290" s="593"/>
      <c r="L290" s="593"/>
      <c r="M290" s="615"/>
      <c r="N290" s="2"/>
      <c r="O290" s="2"/>
      <c r="P290" s="1497"/>
      <c r="Q290" s="2"/>
    </row>
    <row r="291" spans="1:17" ht="15.75">
      <c r="A291" s="634"/>
      <c r="B291" s="17" t="str">
        <f>'Appendix A'!B102</f>
        <v>Network Upgrade Balance</v>
      </c>
      <c r="C291" s="2"/>
      <c r="D291" s="2"/>
      <c r="E291" s="2"/>
      <c r="F291" s="37"/>
      <c r="G291" s="635"/>
      <c r="H291" s="2"/>
      <c r="I291" s="2"/>
      <c r="J291" s="2"/>
      <c r="K291" s="2"/>
      <c r="L291" s="2"/>
      <c r="M291" s="635"/>
      <c r="N291" s="2"/>
      <c r="O291" s="2"/>
      <c r="P291" s="1497"/>
      <c r="Q291" s="2"/>
    </row>
    <row r="292" spans="1:17" ht="15.75">
      <c r="A292" s="634"/>
      <c r="B292" s="98"/>
      <c r="C292" s="34"/>
      <c r="D292" s="2"/>
      <c r="E292" s="2"/>
      <c r="F292" s="2" t="s">
        <v>842</v>
      </c>
      <c r="G292" s="618" t="s">
        <v>905</v>
      </c>
      <c r="H292" s="748">
        <f>-Inputs!D90</f>
        <v>-190348902.84</v>
      </c>
      <c r="I292" s="2"/>
      <c r="J292" s="2"/>
      <c r="K292" s="2"/>
      <c r="L292" s="2"/>
      <c r="M292" s="635"/>
      <c r="N292" s="2"/>
      <c r="O292" s="2"/>
      <c r="P292" s="1498" t="s">
        <v>844</v>
      </c>
      <c r="Q292" s="2"/>
    </row>
    <row r="293" spans="1:17" ht="15.75">
      <c r="A293" s="634"/>
      <c r="B293" s="98"/>
      <c r="C293" s="34"/>
      <c r="D293" s="2"/>
      <c r="E293" s="2"/>
      <c r="F293" s="2" t="s">
        <v>845</v>
      </c>
      <c r="G293" s="618" t="s">
        <v>905</v>
      </c>
      <c r="H293" s="748">
        <f>-Inputs!E90</f>
        <v>-254743005.80000001</v>
      </c>
      <c r="I293" s="2"/>
      <c r="J293" s="2"/>
      <c r="K293" s="2"/>
      <c r="L293" s="2"/>
      <c r="M293" s="635"/>
      <c r="N293" s="2"/>
      <c r="O293" s="2"/>
      <c r="P293" s="1498" t="s">
        <v>844</v>
      </c>
      <c r="Q293" s="2"/>
    </row>
    <row r="294" spans="1:17" ht="15.75">
      <c r="A294" s="634">
        <f>'Appendix A'!A103</f>
        <v>50</v>
      </c>
      <c r="B294" s="98"/>
      <c r="C294" s="34" t="str">
        <f>'Appendix A'!C103</f>
        <v>Network Upgrade Balance</v>
      </c>
      <c r="D294" s="2"/>
      <c r="E294" s="39" t="str">
        <f>'Appendix A'!E103</f>
        <v>(Note N)</v>
      </c>
      <c r="F294" s="47" t="s">
        <v>804</v>
      </c>
      <c r="G294" s="668" t="str">
        <f>Toggle</f>
        <v>Projection</v>
      </c>
      <c r="H294" s="622">
        <f>IF(Toggle=Projection,H293,IF(Toggle=True_up,AVERAGE(H292:H293),"Set Toggle!"))</f>
        <v>-254743005.80000001</v>
      </c>
      <c r="I294" s="548" t="str">
        <f>IF(Toggle=Projection,"current end-of-year balance",IF(Toggle=True_up,"beg-of-year and end-of-year average ","Set Toggle!"))</f>
        <v>current end-of-year balance</v>
      </c>
      <c r="J294" s="678"/>
      <c r="K294" s="678"/>
      <c r="L294" s="2"/>
      <c r="M294" s="635"/>
      <c r="N294" s="2"/>
      <c r="O294" s="2"/>
      <c r="P294" s="1497"/>
      <c r="Q294" s="2"/>
    </row>
    <row r="295" spans="1:17" ht="16.5" thickBot="1">
      <c r="A295" s="652"/>
      <c r="B295" s="653"/>
      <c r="C295" s="654"/>
      <c r="D295" s="154"/>
      <c r="E295" s="154"/>
      <c r="F295" s="655"/>
      <c r="G295" s="671"/>
      <c r="H295" s="749"/>
      <c r="I295" s="746"/>
      <c r="J295" s="746"/>
      <c r="K295" s="746"/>
      <c r="L295" s="746"/>
      <c r="M295" s="747"/>
      <c r="N295" s="2"/>
      <c r="O295" s="2"/>
      <c r="P295" s="1497"/>
      <c r="Q295" s="2"/>
    </row>
    <row r="296" spans="1:17" ht="15.75">
      <c r="A296" s="39"/>
      <c r="B296" s="98"/>
      <c r="C296" s="34"/>
      <c r="D296" s="2"/>
      <c r="E296" s="2"/>
      <c r="F296" s="61"/>
      <c r="G296" s="34"/>
      <c r="H296" s="35"/>
      <c r="I296" s="35"/>
      <c r="J296" s="35"/>
      <c r="K296" s="675"/>
      <c r="L296" s="36"/>
      <c r="M296" s="36"/>
      <c r="N296" s="2"/>
      <c r="O296" s="2"/>
      <c r="P296" s="1497"/>
      <c r="Q296" s="2"/>
    </row>
    <row r="297" spans="1:17" ht="15.75">
      <c r="A297" s="2"/>
      <c r="B297" s="2"/>
      <c r="C297" s="2"/>
      <c r="D297" s="2"/>
      <c r="E297" s="2"/>
      <c r="F297" s="2"/>
      <c r="G297" s="2"/>
      <c r="H297" s="2"/>
      <c r="I297" s="2"/>
      <c r="J297" s="2"/>
      <c r="K297" s="2"/>
      <c r="L297" s="2"/>
      <c r="M297" s="2"/>
      <c r="N297" s="2"/>
      <c r="O297" s="2"/>
      <c r="P297" s="1497"/>
      <c r="Q297" s="2"/>
    </row>
    <row r="298" spans="1:17" ht="16.5" thickBot="1">
      <c r="A298" s="612" t="s">
        <v>107</v>
      </c>
      <c r="B298" s="2"/>
      <c r="C298" s="2"/>
      <c r="D298" s="2"/>
      <c r="E298" s="2"/>
      <c r="F298" s="2"/>
      <c r="G298" s="2"/>
      <c r="H298" s="2"/>
      <c r="I298" s="154"/>
      <c r="J298" s="154"/>
      <c r="K298" s="154"/>
      <c r="L298" s="154"/>
      <c r="M298" s="2"/>
      <c r="N298" s="2"/>
      <c r="O298" s="2"/>
      <c r="P298" s="1497"/>
      <c r="Q298" s="2"/>
    </row>
    <row r="299" spans="1:17" ht="15.75">
      <c r="A299" s="750" t="s">
        <v>840</v>
      </c>
      <c r="B299" s="593"/>
      <c r="C299" s="593"/>
      <c r="D299" s="593"/>
      <c r="E299" s="593"/>
      <c r="F299" s="593"/>
      <c r="G299" s="615"/>
      <c r="H299" s="614" t="s">
        <v>111</v>
      </c>
      <c r="I299" s="593"/>
      <c r="J299" s="593"/>
      <c r="K299" s="593"/>
      <c r="L299" s="593"/>
      <c r="M299" s="615"/>
      <c r="N299" s="2"/>
      <c r="O299" s="2"/>
      <c r="P299" s="1497"/>
      <c r="Q299" s="2"/>
    </row>
    <row r="300" spans="1:17" ht="15.75">
      <c r="A300" s="639"/>
      <c r="B300" s="2"/>
      <c r="C300" s="2"/>
      <c r="D300" s="2"/>
      <c r="E300" s="2"/>
      <c r="F300" s="2"/>
      <c r="G300" s="2"/>
      <c r="H300" s="639"/>
      <c r="I300" s="2"/>
      <c r="J300" s="2"/>
      <c r="K300" s="2"/>
      <c r="L300" s="2"/>
      <c r="M300" s="635"/>
      <c r="N300" s="2"/>
      <c r="O300" s="2"/>
      <c r="P300" s="1497"/>
      <c r="Q300" s="2"/>
    </row>
    <row r="301" spans="1:17" ht="15.75">
      <c r="A301" s="639"/>
      <c r="B301" s="17" t="s">
        <v>906</v>
      </c>
      <c r="C301" s="2"/>
      <c r="D301" s="2"/>
      <c r="E301" s="2"/>
      <c r="F301" s="2"/>
      <c r="G301" s="2"/>
      <c r="H301" s="639"/>
      <c r="I301" s="2"/>
      <c r="J301" s="2"/>
      <c r="K301" s="2"/>
      <c r="L301" s="2"/>
      <c r="M301" s="635"/>
      <c r="N301" s="2"/>
      <c r="O301" s="2"/>
      <c r="P301" s="1498" t="s">
        <v>844</v>
      </c>
      <c r="Q301" s="2"/>
    </row>
    <row r="302" spans="1:17" ht="15.75">
      <c r="A302" s="639"/>
      <c r="B302" s="2"/>
      <c r="C302" s="2" t="s">
        <v>907</v>
      </c>
      <c r="D302" s="2"/>
      <c r="E302" s="39" t="str">
        <f>'Appendix A'!$E$214</f>
        <v>(Note H)</v>
      </c>
      <c r="F302" s="2"/>
      <c r="G302" s="751" t="s">
        <v>908</v>
      </c>
      <c r="H302" s="752">
        <f>INDEX(Inputs!$E$48:$E$82,MATCH(G302,Inputs!$F$48:$F$82,0))</f>
        <v>146298145</v>
      </c>
      <c r="I302" s="2"/>
      <c r="J302" s="2"/>
      <c r="K302" s="2"/>
      <c r="L302" s="2"/>
      <c r="M302" s="635"/>
      <c r="N302" s="2"/>
      <c r="O302" s="2"/>
      <c r="P302" s="1498" t="s">
        <v>844</v>
      </c>
      <c r="Q302" s="2"/>
    </row>
    <row r="303" spans="1:17" ht="15.75">
      <c r="A303" s="639"/>
      <c r="B303" s="2"/>
      <c r="C303" s="2" t="s">
        <v>909</v>
      </c>
      <c r="D303" s="2"/>
      <c r="E303" s="39" t="str">
        <f>'Appendix A'!$E$214</f>
        <v>(Note H)</v>
      </c>
      <c r="F303" s="2"/>
      <c r="G303" s="751" t="s">
        <v>910</v>
      </c>
      <c r="H303" s="752">
        <f>INDEX(Inputs!$E$48:$E$82,MATCH(G303,Inputs!$F$48:$F$82,0))</f>
        <v>0</v>
      </c>
      <c r="I303" s="2"/>
      <c r="J303" s="2"/>
      <c r="K303" s="2"/>
      <c r="L303" s="2"/>
      <c r="M303" s="635"/>
      <c r="N303" s="2"/>
      <c r="O303" s="2"/>
      <c r="P303" s="1498" t="s">
        <v>844</v>
      </c>
      <c r="Q303" s="2"/>
    </row>
    <row r="304" spans="1:17" ht="15.75">
      <c r="A304" s="639">
        <f>'Appendix A'!A145</f>
        <v>76</v>
      </c>
      <c r="B304" s="2"/>
      <c r="C304" s="713" t="str">
        <f>'Appendix A'!C145</f>
        <v>Transmission Depreciation Expense Including Amortization of Limited Term Plant</v>
      </c>
      <c r="D304" s="62"/>
      <c r="E304" s="62" t="str">
        <f>'Appendix A'!$E$214</f>
        <v>(Note H)</v>
      </c>
      <c r="F304" s="47"/>
      <c r="G304" s="753" t="s">
        <v>888</v>
      </c>
      <c r="H304" s="754">
        <f>SUM(H302:H303)</f>
        <v>146298145</v>
      </c>
      <c r="I304" s="2" t="s">
        <v>874</v>
      </c>
      <c r="J304" s="2"/>
      <c r="K304" s="2"/>
      <c r="L304" s="2"/>
      <c r="M304" s="635"/>
      <c r="N304" s="2"/>
      <c r="O304" s="2"/>
      <c r="P304" s="1498" t="s">
        <v>844</v>
      </c>
      <c r="Q304" s="2"/>
    </row>
    <row r="305" spans="1:17" ht="15.75">
      <c r="A305" s="639"/>
      <c r="B305" s="2"/>
      <c r="C305" s="2"/>
      <c r="D305" s="39"/>
      <c r="E305" s="39"/>
      <c r="F305" s="2"/>
      <c r="G305" s="2"/>
      <c r="H305" s="674"/>
      <c r="I305" s="2"/>
      <c r="J305" s="2"/>
      <c r="K305" s="2"/>
      <c r="L305" s="2"/>
      <c r="M305" s="635"/>
      <c r="N305" s="2"/>
      <c r="O305" s="2"/>
      <c r="P305" s="1498" t="s">
        <v>844</v>
      </c>
      <c r="Q305" s="2"/>
    </row>
    <row r="306" spans="1:17" ht="15.75">
      <c r="A306" s="639"/>
      <c r="B306" s="17" t="s">
        <v>40</v>
      </c>
      <c r="C306" s="2"/>
      <c r="D306" s="39"/>
      <c r="E306" s="39"/>
      <c r="F306" s="2"/>
      <c r="G306" s="2"/>
      <c r="H306" s="674"/>
      <c r="I306" s="2"/>
      <c r="J306" s="2"/>
      <c r="K306" s="2"/>
      <c r="L306" s="2"/>
      <c r="M306" s="635"/>
      <c r="N306" s="2"/>
      <c r="O306" s="2"/>
      <c r="P306" s="1498" t="s">
        <v>844</v>
      </c>
      <c r="Q306" s="2"/>
    </row>
    <row r="307" spans="1:17" ht="15.75">
      <c r="A307" s="639"/>
      <c r="B307" s="2"/>
      <c r="C307" s="2" t="s">
        <v>907</v>
      </c>
      <c r="D307" s="39"/>
      <c r="E307" s="39" t="str">
        <f>'Appendix A'!$E$214</f>
        <v>(Note H)</v>
      </c>
      <c r="F307" s="2"/>
      <c r="G307" s="751" t="s">
        <v>911</v>
      </c>
      <c r="H307" s="752">
        <f>INDEX(Inputs!$E$48:$E$82,MATCH(G307,Inputs!$F$48:$F$82,0))</f>
        <v>53033185</v>
      </c>
      <c r="I307" s="2"/>
      <c r="J307" s="2"/>
      <c r="K307" s="2"/>
      <c r="L307" s="2"/>
      <c r="M307" s="635"/>
      <c r="N307" s="2"/>
      <c r="O307" s="2"/>
      <c r="P307" s="1498" t="s">
        <v>844</v>
      </c>
      <c r="Q307" s="2"/>
    </row>
    <row r="308" spans="1:17" ht="15.75">
      <c r="A308" s="639"/>
      <c r="B308" s="2"/>
      <c r="C308" s="2" t="s">
        <v>909</v>
      </c>
      <c r="D308" s="39"/>
      <c r="E308" s="39" t="str">
        <f>'Appendix A'!$E$214</f>
        <v>(Note H)</v>
      </c>
      <c r="F308" s="2"/>
      <c r="G308" s="751" t="s">
        <v>912</v>
      </c>
      <c r="H308" s="752">
        <f>INDEX(Inputs!$E$48:$E$82,MATCH(G308,Inputs!$F$48:$F$82,0))</f>
        <v>403345</v>
      </c>
      <c r="I308" s="2"/>
      <c r="J308" s="2"/>
      <c r="K308" s="2"/>
      <c r="L308" s="2"/>
      <c r="M308" s="635"/>
      <c r="N308" s="2"/>
      <c r="O308" s="2"/>
      <c r="P308" s="1498" t="s">
        <v>844</v>
      </c>
      <c r="Q308" s="2"/>
    </row>
    <row r="309" spans="1:17" ht="15.75">
      <c r="A309" s="639">
        <f>'Appendix A'!A147</f>
        <v>77</v>
      </c>
      <c r="B309" s="2"/>
      <c r="C309" s="81" t="str">
        <f>'Appendix A'!C147</f>
        <v>General Depreciation Expense Including Amortization of Limited Term Plant</v>
      </c>
      <c r="D309" s="62"/>
      <c r="E309" s="62" t="str">
        <f>'Appendix A'!$E$214</f>
        <v>(Note H)</v>
      </c>
      <c r="F309" s="47"/>
      <c r="G309" s="753" t="s">
        <v>888</v>
      </c>
      <c r="H309" s="754">
        <f>SUM(H307:H308)</f>
        <v>53436530</v>
      </c>
      <c r="I309" s="2" t="s">
        <v>874</v>
      </c>
      <c r="J309" s="2"/>
      <c r="K309" s="2"/>
      <c r="L309" s="2"/>
      <c r="M309" s="635"/>
      <c r="N309" s="2"/>
      <c r="O309" s="2"/>
      <c r="P309" s="1498" t="s">
        <v>844</v>
      </c>
      <c r="Q309" s="2"/>
    </row>
    <row r="310" spans="1:17" ht="15.75">
      <c r="A310" s="639"/>
      <c r="B310" s="2"/>
      <c r="C310" s="497"/>
      <c r="D310" s="39"/>
      <c r="E310" s="39"/>
      <c r="F310" s="2"/>
      <c r="G310" s="2"/>
      <c r="H310" s="755"/>
      <c r="I310" s="2"/>
      <c r="J310" s="2"/>
      <c r="K310" s="2"/>
      <c r="L310" s="2"/>
      <c r="M310" s="635"/>
      <c r="N310" s="2"/>
      <c r="O310" s="2"/>
      <c r="P310" s="1498" t="s">
        <v>844</v>
      </c>
      <c r="Q310" s="2"/>
    </row>
    <row r="311" spans="1:17" ht="15.75">
      <c r="A311" s="639"/>
      <c r="B311" s="17" t="s">
        <v>913</v>
      </c>
      <c r="C311" s="2"/>
      <c r="D311" s="39"/>
      <c r="E311" s="39"/>
      <c r="F311" s="2"/>
      <c r="G311" s="2"/>
      <c r="H311" s="755"/>
      <c r="I311" s="2"/>
      <c r="J311" s="2"/>
      <c r="K311" s="2"/>
      <c r="L311" s="2"/>
      <c r="M311" s="635"/>
      <c r="N311" s="2"/>
      <c r="O311" s="2"/>
      <c r="P311" s="1498" t="s">
        <v>844</v>
      </c>
      <c r="Q311" s="2"/>
    </row>
    <row r="312" spans="1:17" ht="15.75">
      <c r="A312" s="639"/>
      <c r="B312" s="2"/>
      <c r="C312" s="2" t="s">
        <v>909</v>
      </c>
      <c r="D312" s="39"/>
      <c r="E312" s="39" t="str">
        <f>'Appendix A'!$E$214</f>
        <v>(Note H)</v>
      </c>
      <c r="F312" s="2"/>
      <c r="G312" s="751" t="s">
        <v>914</v>
      </c>
      <c r="H312" s="752">
        <f>INDEX(Inputs!$E$48:$E$82,MATCH(G312,Inputs!$F$48:$F$82,0))</f>
        <v>68568312</v>
      </c>
      <c r="I312" s="2"/>
      <c r="J312" s="2"/>
      <c r="K312" s="2"/>
      <c r="L312" s="2"/>
      <c r="M312" s="635"/>
      <c r="N312" s="2"/>
      <c r="O312" s="2"/>
      <c r="P312" s="1498" t="s">
        <v>844</v>
      </c>
      <c r="Q312" s="2"/>
    </row>
    <row r="313" spans="1:17" ht="15.75">
      <c r="A313" s="639"/>
      <c r="B313" s="2"/>
      <c r="C313" s="2" t="s">
        <v>915</v>
      </c>
      <c r="D313" s="39"/>
      <c r="E313" s="39" t="str">
        <f>'Appendix A'!$E$214</f>
        <v>(Note H)</v>
      </c>
      <c r="F313" s="2"/>
      <c r="G313" s="751" t="s">
        <v>916</v>
      </c>
      <c r="H313" s="752">
        <f>INDEX(Inputs!$E$48:$E$82,MATCH(G313,Inputs!$F$48:$F$82,0))</f>
        <v>0</v>
      </c>
      <c r="I313" s="2"/>
      <c r="J313" s="2"/>
      <c r="K313" s="2"/>
      <c r="L313" s="2"/>
      <c r="M313" s="635"/>
      <c r="N313" s="2"/>
      <c r="O313" s="2"/>
      <c r="P313" s="1498" t="s">
        <v>844</v>
      </c>
      <c r="Q313" s="2"/>
    </row>
    <row r="314" spans="1:17" ht="15.75">
      <c r="A314" s="639">
        <f>'Appendix A'!A148</f>
        <v>78</v>
      </c>
      <c r="B314" s="2"/>
      <c r="C314" s="713" t="s">
        <v>917</v>
      </c>
      <c r="D314" s="62"/>
      <c r="E314" s="62" t="str">
        <f>'Appendix A'!$E$214</f>
        <v>(Note H)</v>
      </c>
      <c r="F314" s="756"/>
      <c r="G314" s="753" t="s">
        <v>888</v>
      </c>
      <c r="H314" s="754">
        <f>SUM(H312:H313)</f>
        <v>68568312</v>
      </c>
      <c r="I314" s="2" t="s">
        <v>874</v>
      </c>
      <c r="J314" s="2"/>
      <c r="K314" s="2"/>
      <c r="L314" s="2"/>
      <c r="M314" s="635"/>
      <c r="N314" s="2"/>
      <c r="O314" s="2"/>
      <c r="P314" s="1498" t="s">
        <v>844</v>
      </c>
      <c r="Q314" s="2"/>
    </row>
    <row r="315" spans="1:17" ht="16.5" thickBot="1">
      <c r="A315" s="718"/>
      <c r="B315" s="154"/>
      <c r="C315" s="154"/>
      <c r="D315" s="154"/>
      <c r="E315" s="154"/>
      <c r="F315" s="154"/>
      <c r="G315" s="154"/>
      <c r="H315" s="718" t="s">
        <v>175</v>
      </c>
      <c r="I315" s="154"/>
      <c r="J315" s="154"/>
      <c r="K315" s="154"/>
      <c r="L315" s="154"/>
      <c r="M315" s="656"/>
      <c r="N315" s="2"/>
      <c r="O315" s="2"/>
      <c r="P315" s="1497"/>
      <c r="Q315" s="2"/>
    </row>
    <row r="316" spans="1:17" ht="15.75">
      <c r="A316" s="2"/>
      <c r="B316" s="2"/>
      <c r="C316" s="2"/>
      <c r="D316" s="2"/>
      <c r="E316" s="2"/>
      <c r="F316" s="2"/>
      <c r="G316" s="2"/>
      <c r="H316" s="2"/>
      <c r="I316" s="2"/>
      <c r="J316" s="2"/>
      <c r="K316" s="2"/>
      <c r="L316" s="2"/>
      <c r="M316" s="2"/>
      <c r="N316" s="2"/>
      <c r="O316" s="2"/>
      <c r="P316" s="1497"/>
      <c r="Q316" s="2"/>
    </row>
    <row r="317" spans="1:17" ht="15.75">
      <c r="A317" s="2"/>
      <c r="B317" s="2"/>
      <c r="C317" s="2"/>
      <c r="D317" s="2"/>
      <c r="E317" s="2"/>
      <c r="F317" s="2"/>
      <c r="G317" s="2"/>
      <c r="H317" s="2"/>
      <c r="I317" s="2"/>
      <c r="J317" s="2"/>
      <c r="K317" s="2"/>
      <c r="L317" s="2"/>
      <c r="M317" s="2"/>
      <c r="N317" s="2"/>
      <c r="O317" s="2"/>
      <c r="P317" s="1497"/>
      <c r="Q317" s="2"/>
    </row>
    <row r="318" spans="1:17" ht="16.5" thickBot="1">
      <c r="A318" s="612" t="s">
        <v>918</v>
      </c>
      <c r="B318" s="2"/>
      <c r="C318" s="2"/>
      <c r="D318" s="2"/>
      <c r="E318" s="2"/>
      <c r="F318" s="2"/>
      <c r="G318" s="2"/>
      <c r="H318" s="2"/>
      <c r="I318" s="2"/>
      <c r="J318" s="2"/>
      <c r="K318" s="2"/>
      <c r="L318" s="2"/>
      <c r="M318" s="2"/>
      <c r="N318" s="2"/>
      <c r="O318" s="2"/>
      <c r="P318" s="1497"/>
      <c r="Q318" s="2"/>
    </row>
    <row r="319" spans="1:17" ht="15.75">
      <c r="A319" s="750" t="s">
        <v>840</v>
      </c>
      <c r="B319" s="593"/>
      <c r="C319" s="593"/>
      <c r="D319" s="593"/>
      <c r="E319" s="593"/>
      <c r="F319" s="593"/>
      <c r="G319" s="615"/>
      <c r="H319" s="614" t="s">
        <v>286</v>
      </c>
      <c r="I319" s="593"/>
      <c r="J319" s="593"/>
      <c r="K319" s="593"/>
      <c r="L319" s="593"/>
      <c r="M319" s="615"/>
      <c r="N319" s="2"/>
      <c r="O319" s="2"/>
      <c r="P319" s="1497"/>
      <c r="Q319" s="2"/>
    </row>
    <row r="320" spans="1:17" ht="15.75">
      <c r="A320" s="634"/>
      <c r="B320" s="97"/>
      <c r="C320" s="2"/>
      <c r="D320" s="2"/>
      <c r="E320" s="2"/>
      <c r="F320" s="39"/>
      <c r="G320" s="635"/>
      <c r="H320" s="2"/>
      <c r="I320" s="2"/>
      <c r="J320" s="2"/>
      <c r="K320" s="2"/>
      <c r="L320" s="2"/>
      <c r="M320" s="635"/>
      <c r="N320" s="2"/>
      <c r="O320" s="2"/>
      <c r="Q320" s="2"/>
    </row>
    <row r="321" spans="1:17" ht="15.75">
      <c r="A321" s="634"/>
      <c r="B321" s="97"/>
      <c r="C321" s="681"/>
      <c r="D321" s="678"/>
      <c r="E321" s="678"/>
      <c r="F321" s="39"/>
      <c r="G321" s="642"/>
      <c r="H321" s="711"/>
      <c r="I321" s="2"/>
      <c r="J321" s="534"/>
      <c r="K321" s="2"/>
      <c r="L321" s="2"/>
      <c r="M321" s="635"/>
      <c r="N321" s="2"/>
      <c r="O321" s="2"/>
      <c r="Q321" s="2"/>
    </row>
    <row r="322" spans="1:17" ht="15.75">
      <c r="A322" s="634"/>
      <c r="B322" s="97"/>
      <c r="C322" s="681" t="s">
        <v>1566</v>
      </c>
      <c r="D322" s="678"/>
      <c r="E322" s="678"/>
      <c r="F322" s="39"/>
      <c r="G322" s="642"/>
      <c r="H322" s="711"/>
      <c r="I322" s="2"/>
      <c r="J322" s="534"/>
      <c r="K322" s="2"/>
      <c r="L322" s="2"/>
      <c r="M322" s="635"/>
      <c r="N322" s="2"/>
      <c r="O322" s="2"/>
      <c r="Q322" s="2"/>
    </row>
    <row r="323" spans="1:17" ht="15.75">
      <c r="A323" s="634"/>
      <c r="B323" s="97"/>
      <c r="C323" s="681" t="s">
        <v>919</v>
      </c>
      <c r="D323" s="678"/>
      <c r="E323" s="678"/>
      <c r="F323" s="39"/>
      <c r="G323" s="642"/>
      <c r="H323" s="711"/>
      <c r="I323" s="2"/>
      <c r="J323" s="534"/>
      <c r="K323" s="2"/>
      <c r="L323" s="2"/>
      <c r="M323" s="635"/>
      <c r="N323" s="2"/>
      <c r="O323" s="2"/>
      <c r="Q323" s="2"/>
    </row>
    <row r="324" spans="1:17" ht="15.75">
      <c r="A324" s="634"/>
      <c r="B324" s="97"/>
      <c r="C324" s="682"/>
      <c r="D324" s="678"/>
      <c r="E324" s="678"/>
      <c r="F324" s="39"/>
      <c r="G324" s="642"/>
      <c r="H324" s="711"/>
      <c r="I324" s="2"/>
      <c r="J324" s="534"/>
      <c r="K324" s="2"/>
      <c r="L324" s="2"/>
      <c r="M324" s="635"/>
      <c r="N324" s="2"/>
      <c r="O324" s="2"/>
      <c r="Q324" s="2"/>
    </row>
    <row r="325" spans="1:17" ht="15.75">
      <c r="A325" s="634">
        <f>'Appendix A'!$A$122</f>
        <v>61</v>
      </c>
      <c r="B325" s="39"/>
      <c r="C325" s="753" t="s">
        <v>111</v>
      </c>
      <c r="D325" s="47"/>
      <c r="E325" s="47"/>
      <c r="F325" s="756"/>
      <c r="G325" s="757" t="s">
        <v>888</v>
      </c>
      <c r="H325" s="758">
        <f>SUM(H321:H324)</f>
        <v>0</v>
      </c>
      <c r="I325" s="2" t="s">
        <v>874</v>
      </c>
      <c r="J325" s="2"/>
      <c r="K325" s="2"/>
      <c r="L325" s="2"/>
      <c r="M325" s="635"/>
      <c r="N325" s="2"/>
      <c r="O325" s="2"/>
      <c r="Q325" s="2"/>
    </row>
    <row r="326" spans="1:17" ht="16.5" thickBot="1">
      <c r="A326" s="652"/>
      <c r="B326" s="155"/>
      <c r="C326" s="154"/>
      <c r="D326" s="154"/>
      <c r="E326" s="154"/>
      <c r="F326" s="155"/>
      <c r="G326" s="702"/>
      <c r="H326" s="745"/>
      <c r="I326" s="746"/>
      <c r="J326" s="746"/>
      <c r="K326" s="746"/>
      <c r="L326" s="746"/>
      <c r="M326" s="747"/>
      <c r="N326" s="2"/>
      <c r="O326" s="2"/>
      <c r="Q326" s="2"/>
    </row>
    <row r="327" spans="1:17" ht="15.75">
      <c r="A327" s="2"/>
      <c r="B327" s="2"/>
      <c r="C327" s="2"/>
      <c r="D327" s="2"/>
      <c r="E327" s="2"/>
      <c r="F327" s="2"/>
      <c r="G327" s="2"/>
      <c r="H327" s="2"/>
      <c r="I327" s="2"/>
      <c r="J327" s="2"/>
      <c r="K327" s="2"/>
      <c r="L327" s="2"/>
      <c r="M327" s="2"/>
      <c r="N327" s="2"/>
      <c r="O327" s="2"/>
      <c r="P327" s="1497"/>
      <c r="Q327" s="2"/>
    </row>
    <row r="328" spans="1:17" ht="15.75">
      <c r="A328" s="2"/>
      <c r="B328" s="2"/>
      <c r="C328" s="2"/>
      <c r="D328" s="2"/>
      <c r="E328" s="2"/>
      <c r="F328" s="2"/>
      <c r="G328" s="2"/>
      <c r="H328" s="2"/>
      <c r="I328" s="2"/>
      <c r="J328" s="2"/>
      <c r="K328" s="2"/>
      <c r="L328" s="2"/>
      <c r="M328" s="2"/>
      <c r="N328" s="2"/>
      <c r="O328" s="2"/>
      <c r="P328" s="1497"/>
      <c r="Q328" s="2"/>
    </row>
    <row r="329" spans="1:17" ht="15.75">
      <c r="A329" s="2"/>
      <c r="B329" s="2"/>
      <c r="C329" s="2"/>
      <c r="D329" s="2"/>
      <c r="E329" s="2"/>
      <c r="F329" s="2"/>
      <c r="G329" s="2"/>
      <c r="H329" s="2"/>
      <c r="I329" s="2"/>
      <c r="J329" s="2"/>
      <c r="K329" s="2"/>
      <c r="L329" s="2"/>
      <c r="M329" s="2"/>
      <c r="N329" s="2"/>
      <c r="O329" s="2"/>
      <c r="P329" s="1497"/>
      <c r="Q329" s="2"/>
    </row>
    <row r="330" spans="1:17" ht="15.75">
      <c r="A330" s="2"/>
      <c r="B330" s="2"/>
      <c r="C330" s="2"/>
      <c r="D330" s="2"/>
      <c r="E330" s="2"/>
      <c r="F330" s="2"/>
      <c r="G330" s="2"/>
      <c r="H330" s="2"/>
      <c r="I330" s="2"/>
      <c r="J330" s="2"/>
      <c r="K330" s="2"/>
      <c r="L330" s="2"/>
      <c r="M330" s="2"/>
      <c r="N330" s="2"/>
      <c r="O330" s="2"/>
      <c r="P330" s="1497"/>
      <c r="Q330" s="2"/>
    </row>
    <row r="331" spans="1:17" ht="15.75">
      <c r="A331" s="2"/>
      <c r="B331" s="2"/>
      <c r="C331" s="2"/>
      <c r="D331" s="2"/>
      <c r="E331" s="2"/>
      <c r="F331" s="2"/>
      <c r="G331" s="2"/>
      <c r="H331" s="2"/>
      <c r="I331" s="2"/>
      <c r="J331" s="2"/>
      <c r="K331" s="2"/>
      <c r="L331" s="2"/>
      <c r="M331" s="2"/>
      <c r="N331" s="2"/>
      <c r="O331" s="2"/>
      <c r="P331" s="1497"/>
      <c r="Q331" s="2"/>
    </row>
    <row r="332" spans="1:17" ht="15.75">
      <c r="A332" s="2"/>
      <c r="B332" s="2"/>
      <c r="C332" s="2"/>
      <c r="D332" s="2"/>
      <c r="E332" s="2"/>
      <c r="F332" s="2"/>
      <c r="G332" s="2"/>
      <c r="H332" s="2"/>
      <c r="I332" s="2"/>
      <c r="J332" s="2"/>
      <c r="K332" s="2"/>
      <c r="L332" s="2"/>
      <c r="M332" s="2"/>
      <c r="N332" s="2"/>
      <c r="O332" s="2"/>
      <c r="P332" s="1497"/>
      <c r="Q332" s="2"/>
    </row>
    <row r="333" spans="1:17" ht="15.75">
      <c r="A333" s="2"/>
      <c r="B333" s="2"/>
      <c r="C333" s="2"/>
      <c r="D333" s="2"/>
      <c r="E333" s="2"/>
      <c r="F333" s="2"/>
      <c r="G333" s="2"/>
      <c r="H333" s="2"/>
      <c r="I333" s="2"/>
      <c r="J333" s="2"/>
      <c r="K333" s="2"/>
      <c r="L333" s="2"/>
      <c r="M333" s="2"/>
      <c r="N333" s="2"/>
      <c r="O333" s="2"/>
      <c r="P333" s="1497"/>
      <c r="Q333" s="2"/>
    </row>
    <row r="334" spans="1:17" ht="15.75">
      <c r="A334" s="2"/>
      <c r="B334" s="2"/>
      <c r="C334" s="2"/>
      <c r="D334" s="2"/>
      <c r="E334" s="2"/>
      <c r="F334" s="2"/>
      <c r="G334" s="2"/>
      <c r="H334" s="2"/>
      <c r="I334" s="2"/>
      <c r="J334" s="2"/>
      <c r="K334" s="2"/>
      <c r="L334" s="2"/>
      <c r="M334" s="2"/>
      <c r="N334" s="2"/>
      <c r="O334" s="2"/>
      <c r="P334" s="1497"/>
      <c r="Q334" s="2"/>
    </row>
    <row r="335" spans="1:17" ht="15.75">
      <c r="A335" s="2"/>
      <c r="B335" s="2"/>
      <c r="C335" s="2"/>
      <c r="D335" s="2"/>
      <c r="E335" s="2"/>
      <c r="F335" s="2"/>
      <c r="G335" s="2"/>
      <c r="H335" s="2"/>
      <c r="I335" s="2"/>
      <c r="J335" s="2"/>
      <c r="K335" s="2"/>
      <c r="L335" s="2"/>
      <c r="M335" s="2"/>
      <c r="N335" s="2"/>
      <c r="O335" s="2"/>
      <c r="P335" s="1497"/>
      <c r="Q335" s="2"/>
    </row>
    <row r="336" spans="1:17" ht="15.75">
      <c r="A336" s="2"/>
      <c r="B336" s="2"/>
      <c r="C336" s="2"/>
      <c r="D336" s="2"/>
      <c r="E336" s="2"/>
      <c r="F336" s="2"/>
      <c r="G336" s="2"/>
      <c r="H336" s="2"/>
      <c r="I336" s="2"/>
      <c r="J336" s="2"/>
      <c r="K336" s="2"/>
      <c r="L336" s="2"/>
      <c r="M336" s="2"/>
      <c r="N336" s="2"/>
      <c r="O336" s="2"/>
      <c r="P336" s="1497"/>
      <c r="Q336" s="2"/>
    </row>
    <row r="337" spans="1:17" ht="15.75">
      <c r="A337" s="2"/>
      <c r="B337" s="2"/>
      <c r="C337" s="2"/>
      <c r="D337" s="2"/>
      <c r="E337" s="2"/>
      <c r="F337" s="2"/>
      <c r="G337" s="2"/>
      <c r="H337" s="2"/>
      <c r="I337" s="2"/>
      <c r="J337" s="2"/>
      <c r="K337" s="2"/>
      <c r="L337" s="2"/>
      <c r="M337" s="2"/>
      <c r="N337" s="2"/>
      <c r="O337" s="2"/>
      <c r="P337" s="1497"/>
      <c r="Q337" s="2"/>
    </row>
    <row r="338" spans="1:17" ht="15.75">
      <c r="A338" s="2"/>
      <c r="B338" s="2"/>
      <c r="C338" s="2"/>
      <c r="D338" s="2"/>
      <c r="E338" s="2"/>
      <c r="F338" s="2"/>
      <c r="G338" s="2"/>
      <c r="H338" s="2"/>
      <c r="I338" s="2"/>
      <c r="J338" s="2"/>
      <c r="K338" s="2"/>
      <c r="L338" s="2"/>
      <c r="M338" s="2"/>
      <c r="N338" s="2"/>
      <c r="O338" s="2"/>
      <c r="P338" s="1497"/>
      <c r="Q338" s="2"/>
    </row>
    <row r="339" spans="1:17" ht="15.75">
      <c r="A339" s="2"/>
      <c r="B339" s="2"/>
      <c r="C339" s="2"/>
      <c r="D339" s="2"/>
      <c r="E339" s="2"/>
      <c r="F339" s="2"/>
      <c r="G339" s="2"/>
      <c r="H339" s="2"/>
      <c r="I339" s="2"/>
      <c r="J339" s="2"/>
      <c r="K339" s="2"/>
      <c r="L339" s="2"/>
      <c r="M339" s="2"/>
      <c r="N339" s="2"/>
      <c r="O339" s="2"/>
      <c r="P339" s="1497"/>
      <c r="Q339" s="2"/>
    </row>
    <row r="340" spans="1:17" ht="15.75">
      <c r="A340" s="2"/>
      <c r="B340" s="2"/>
      <c r="C340" s="2"/>
      <c r="D340" s="2"/>
      <c r="E340" s="2"/>
      <c r="F340" s="2"/>
      <c r="G340" s="2"/>
      <c r="H340" s="2"/>
      <c r="I340" s="2"/>
      <c r="J340" s="2"/>
      <c r="K340" s="2"/>
      <c r="L340" s="2"/>
      <c r="M340" s="2"/>
      <c r="N340" s="2"/>
      <c r="O340" s="2"/>
      <c r="P340" s="1497"/>
      <c r="Q340" s="2"/>
    </row>
    <row r="341" spans="1:17" ht="15.75">
      <c r="A341" s="2"/>
      <c r="B341" s="2"/>
      <c r="C341" s="2"/>
      <c r="D341" s="2"/>
      <c r="E341" s="2"/>
      <c r="F341" s="2"/>
      <c r="G341" s="2"/>
      <c r="H341" s="2"/>
      <c r="I341" s="2"/>
      <c r="J341" s="2"/>
      <c r="K341" s="2"/>
      <c r="L341" s="2"/>
      <c r="M341" s="2"/>
      <c r="N341" s="2"/>
      <c r="O341" s="2"/>
      <c r="P341" s="1497"/>
      <c r="Q341" s="2"/>
    </row>
    <row r="342" spans="1:17" ht="15.75">
      <c r="A342" s="2"/>
      <c r="B342" s="2"/>
      <c r="C342" s="2"/>
      <c r="D342" s="2"/>
      <c r="E342" s="2"/>
      <c r="F342" s="2"/>
      <c r="G342" s="2"/>
      <c r="H342" s="2"/>
      <c r="I342" s="2"/>
      <c r="J342" s="2"/>
      <c r="K342" s="2"/>
      <c r="L342" s="2"/>
      <c r="M342" s="2"/>
      <c r="N342" s="2"/>
      <c r="O342" s="2"/>
      <c r="P342" s="1497"/>
      <c r="Q342" s="2"/>
    </row>
    <row r="343" spans="1:17" ht="15.75">
      <c r="A343" s="2"/>
      <c r="B343" s="2"/>
      <c r="C343" s="2"/>
      <c r="D343" s="2"/>
      <c r="E343" s="2"/>
      <c r="F343" s="2"/>
      <c r="G343" s="2"/>
      <c r="H343" s="2"/>
      <c r="I343" s="2"/>
      <c r="J343" s="2"/>
      <c r="K343" s="2"/>
      <c r="L343" s="2"/>
      <c r="M343" s="2"/>
      <c r="N343" s="2"/>
      <c r="O343" s="2"/>
      <c r="P343" s="1497"/>
      <c r="Q343" s="2"/>
    </row>
    <row r="344" spans="1:17" ht="15.75">
      <c r="A344" s="2"/>
      <c r="B344" s="2"/>
      <c r="C344" s="2"/>
      <c r="D344" s="2"/>
      <c r="E344" s="2"/>
      <c r="F344" s="2"/>
      <c r="G344" s="2"/>
      <c r="H344" s="2"/>
      <c r="I344" s="2"/>
      <c r="J344" s="2"/>
      <c r="K344" s="2"/>
      <c r="L344" s="2"/>
      <c r="M344" s="2"/>
      <c r="N344" s="2"/>
      <c r="O344" s="2"/>
      <c r="P344" s="1497"/>
      <c r="Q344" s="2"/>
    </row>
    <row r="345" spans="1:17" ht="15.75">
      <c r="A345" s="2"/>
      <c r="B345" s="2"/>
      <c r="C345" s="2"/>
      <c r="D345" s="2"/>
      <c r="E345" s="2"/>
      <c r="F345" s="2"/>
      <c r="G345" s="2"/>
      <c r="H345" s="2"/>
      <c r="I345" s="2"/>
      <c r="J345" s="2"/>
      <c r="K345" s="2"/>
      <c r="L345" s="2"/>
      <c r="M345" s="2"/>
      <c r="N345" s="2"/>
      <c r="O345" s="2"/>
      <c r="P345" s="1497"/>
      <c r="Q345" s="2"/>
    </row>
    <row r="346" spans="1:17" ht="15.75">
      <c r="A346" s="2"/>
      <c r="B346" s="2"/>
      <c r="C346" s="2"/>
      <c r="D346" s="2"/>
      <c r="E346" s="2"/>
      <c r="F346" s="2"/>
      <c r="G346" s="2"/>
      <c r="H346" s="2"/>
      <c r="I346" s="2"/>
      <c r="J346" s="2"/>
      <c r="K346" s="2"/>
      <c r="L346" s="2"/>
      <c r="M346" s="2"/>
      <c r="N346" s="2"/>
      <c r="O346" s="2"/>
      <c r="P346" s="1497"/>
      <c r="Q346" s="2"/>
    </row>
    <row r="347" spans="1:17" ht="15.75">
      <c r="A347" s="2"/>
      <c r="B347" s="2"/>
      <c r="C347" s="2"/>
      <c r="D347" s="2"/>
      <c r="E347" s="2"/>
      <c r="F347" s="2"/>
      <c r="G347" s="2"/>
      <c r="H347" s="2"/>
      <c r="I347" s="2"/>
      <c r="J347" s="2"/>
      <c r="K347" s="2"/>
      <c r="L347" s="2"/>
      <c r="M347" s="2"/>
      <c r="N347" s="2"/>
      <c r="O347" s="2"/>
      <c r="P347" s="1497"/>
      <c r="Q347" s="2"/>
    </row>
    <row r="348" spans="1:17" ht="15.75">
      <c r="A348" s="2"/>
      <c r="B348" s="2"/>
      <c r="C348" s="2"/>
      <c r="D348" s="2"/>
      <c r="E348" s="2"/>
      <c r="F348" s="2"/>
      <c r="G348" s="2"/>
      <c r="H348" s="2"/>
      <c r="I348" s="2"/>
      <c r="J348" s="2"/>
      <c r="K348" s="2"/>
      <c r="L348" s="2"/>
      <c r="M348" s="2"/>
      <c r="N348" s="2"/>
      <c r="O348" s="2"/>
      <c r="P348" s="1497"/>
      <c r="Q348" s="2"/>
    </row>
    <row r="349" spans="1:17" ht="15.75">
      <c r="A349" s="2"/>
      <c r="B349" s="2"/>
      <c r="C349" s="2"/>
      <c r="D349" s="2"/>
      <c r="E349" s="2"/>
      <c r="F349" s="2"/>
      <c r="G349" s="2"/>
      <c r="H349" s="2"/>
      <c r="I349" s="2"/>
      <c r="J349" s="2"/>
      <c r="K349" s="2"/>
      <c r="L349" s="2"/>
      <c r="M349" s="2"/>
      <c r="N349" s="2"/>
      <c r="O349" s="2"/>
      <c r="P349" s="1497"/>
      <c r="Q349" s="2"/>
    </row>
    <row r="350" spans="1:17" ht="15.75">
      <c r="A350" s="2"/>
      <c r="B350" s="2"/>
      <c r="C350" s="2"/>
      <c r="D350" s="2"/>
      <c r="E350" s="2"/>
      <c r="F350" s="2"/>
      <c r="G350" s="2"/>
      <c r="H350" s="2"/>
      <c r="I350" s="2"/>
      <c r="J350" s="2"/>
      <c r="K350" s="2"/>
      <c r="L350" s="2"/>
      <c r="M350" s="2"/>
      <c r="N350" s="2"/>
      <c r="O350" s="2"/>
      <c r="P350" s="1497"/>
      <c r="Q350" s="2"/>
    </row>
    <row r="351" spans="1:17" ht="15.75">
      <c r="A351" s="2"/>
      <c r="B351" s="2"/>
      <c r="C351" s="2"/>
      <c r="D351" s="2"/>
      <c r="E351" s="2"/>
      <c r="F351" s="2"/>
      <c r="G351" s="2"/>
      <c r="H351" s="2"/>
      <c r="I351" s="2"/>
      <c r="J351" s="2"/>
      <c r="K351" s="2"/>
      <c r="L351" s="2"/>
      <c r="M351" s="2"/>
      <c r="N351" s="2"/>
      <c r="O351" s="2"/>
      <c r="P351" s="1497"/>
      <c r="Q351" s="2"/>
    </row>
    <row r="352" spans="1:17" ht="15.75">
      <c r="A352" s="2"/>
      <c r="B352" s="2"/>
      <c r="C352" s="2"/>
      <c r="D352" s="2"/>
      <c r="E352" s="2"/>
      <c r="F352" s="2"/>
      <c r="G352" s="2"/>
      <c r="H352" s="2"/>
      <c r="I352" s="2"/>
      <c r="J352" s="2"/>
      <c r="K352" s="2"/>
      <c r="L352" s="2"/>
      <c r="M352" s="2"/>
      <c r="N352" s="2"/>
      <c r="O352" s="2"/>
      <c r="P352" s="1497"/>
      <c r="Q352" s="2"/>
    </row>
    <row r="353" spans="1:17" ht="15.75">
      <c r="A353" s="2"/>
      <c r="B353" s="2"/>
      <c r="C353" s="2"/>
      <c r="D353" s="2"/>
      <c r="E353" s="2"/>
      <c r="F353" s="2"/>
      <c r="G353" s="2"/>
      <c r="H353" s="2"/>
      <c r="I353" s="2"/>
      <c r="J353" s="2"/>
      <c r="K353" s="2"/>
      <c r="L353" s="2"/>
      <c r="M353" s="2"/>
      <c r="N353" s="2"/>
      <c r="O353" s="2"/>
      <c r="P353" s="1497"/>
      <c r="Q353" s="2"/>
    </row>
    <row r="354" spans="1:17" ht="15.75">
      <c r="A354" s="2"/>
      <c r="B354" s="2"/>
      <c r="C354" s="2"/>
      <c r="D354" s="2"/>
      <c r="E354" s="2"/>
      <c r="F354" s="2"/>
      <c r="G354" s="2"/>
      <c r="H354" s="2"/>
      <c r="I354" s="2"/>
      <c r="J354" s="2"/>
      <c r="K354" s="2"/>
      <c r="L354" s="2"/>
      <c r="M354" s="2"/>
      <c r="N354" s="2"/>
      <c r="O354" s="2"/>
      <c r="P354" s="1497"/>
      <c r="Q354" s="2"/>
    </row>
    <row r="355" spans="1:17" ht="15.75">
      <c r="A355" s="2"/>
      <c r="B355" s="2"/>
      <c r="C355" s="2"/>
      <c r="D355" s="2"/>
      <c r="E355" s="2"/>
      <c r="F355" s="2"/>
      <c r="G355" s="2"/>
      <c r="H355" s="2"/>
      <c r="I355" s="2"/>
      <c r="J355" s="2"/>
      <c r="K355" s="2"/>
      <c r="L355" s="2"/>
      <c r="M355" s="2"/>
      <c r="N355" s="2"/>
      <c r="O355" s="2"/>
      <c r="P355" s="1497"/>
      <c r="Q355" s="2"/>
    </row>
    <row r="356" spans="1:17" ht="15.75">
      <c r="A356" s="2"/>
      <c r="B356" s="2"/>
      <c r="C356" s="2"/>
      <c r="D356" s="2"/>
      <c r="E356" s="2"/>
      <c r="F356" s="2"/>
      <c r="G356" s="2"/>
      <c r="H356" s="2"/>
      <c r="I356" s="2"/>
      <c r="J356" s="2"/>
      <c r="K356" s="2"/>
      <c r="L356" s="2"/>
      <c r="M356" s="2"/>
      <c r="N356" s="2"/>
      <c r="O356" s="2"/>
      <c r="P356" s="1497"/>
      <c r="Q356" s="2"/>
    </row>
    <row r="357" spans="1:17" ht="15.75">
      <c r="A357" s="2"/>
      <c r="B357" s="2"/>
      <c r="C357" s="2"/>
      <c r="D357" s="2"/>
      <c r="E357" s="2"/>
      <c r="F357" s="2"/>
      <c r="G357" s="2"/>
      <c r="H357" s="2"/>
      <c r="I357" s="2"/>
      <c r="J357" s="2"/>
      <c r="K357" s="2"/>
      <c r="L357" s="2"/>
      <c r="M357" s="2"/>
      <c r="N357" s="2"/>
      <c r="O357" s="2"/>
      <c r="P357" s="1497"/>
      <c r="Q357" s="2"/>
    </row>
    <row r="358" spans="1:17" ht="15.75">
      <c r="A358" s="2"/>
      <c r="B358" s="2"/>
      <c r="C358" s="2"/>
      <c r="D358" s="2"/>
      <c r="E358" s="2"/>
      <c r="F358" s="2"/>
      <c r="G358" s="2"/>
      <c r="H358" s="2"/>
      <c r="I358" s="2"/>
      <c r="J358" s="2"/>
      <c r="K358" s="2"/>
      <c r="L358" s="2"/>
      <c r="M358" s="2"/>
      <c r="N358" s="2"/>
      <c r="O358" s="2"/>
      <c r="P358" s="1497"/>
      <c r="Q358" s="2"/>
    </row>
    <row r="359" spans="1:17" ht="15.75">
      <c r="A359" s="2"/>
      <c r="B359" s="2"/>
      <c r="C359" s="2"/>
      <c r="D359" s="2"/>
      <c r="E359" s="2"/>
      <c r="F359" s="2"/>
      <c r="G359" s="2"/>
      <c r="H359" s="2"/>
      <c r="I359" s="2"/>
      <c r="J359" s="2"/>
      <c r="K359" s="2"/>
      <c r="L359" s="2"/>
      <c r="M359" s="2"/>
      <c r="N359" s="2"/>
      <c r="O359" s="2"/>
      <c r="P359" s="1497"/>
      <c r="Q359" s="2"/>
    </row>
    <row r="360" spans="1:17" ht="15.75">
      <c r="A360" s="2"/>
      <c r="B360" s="2"/>
      <c r="C360" s="2"/>
      <c r="D360" s="2"/>
      <c r="E360" s="2"/>
      <c r="F360" s="2"/>
      <c r="G360" s="2"/>
      <c r="H360" s="2"/>
      <c r="I360" s="2"/>
      <c r="J360" s="2"/>
      <c r="K360" s="2"/>
      <c r="L360" s="2"/>
      <c r="M360" s="2"/>
      <c r="N360" s="2"/>
      <c r="O360" s="2"/>
      <c r="P360" s="1497"/>
      <c r="Q360" s="2"/>
    </row>
    <row r="361" spans="1:17" ht="15.75">
      <c r="A361" s="2"/>
      <c r="B361" s="2"/>
      <c r="C361" s="2"/>
      <c r="D361" s="2"/>
      <c r="E361" s="2"/>
      <c r="F361" s="2"/>
      <c r="G361" s="2"/>
      <c r="H361" s="2"/>
      <c r="I361" s="2"/>
      <c r="J361" s="2"/>
      <c r="K361" s="2"/>
      <c r="L361" s="2"/>
      <c r="M361" s="2"/>
      <c r="N361" s="2"/>
      <c r="O361" s="2"/>
      <c r="P361" s="1497"/>
      <c r="Q361" s="2"/>
    </row>
    <row r="362" spans="1:17" ht="15.75">
      <c r="A362" s="2"/>
      <c r="B362" s="2"/>
      <c r="C362" s="2"/>
      <c r="D362" s="2"/>
      <c r="E362" s="2"/>
      <c r="F362" s="2"/>
      <c r="G362" s="2"/>
      <c r="H362" s="2"/>
      <c r="I362" s="2"/>
      <c r="J362" s="2"/>
      <c r="K362" s="2"/>
      <c r="L362" s="2"/>
      <c r="M362" s="2"/>
      <c r="N362" s="2"/>
      <c r="O362" s="2"/>
      <c r="P362" s="1497"/>
      <c r="Q362" s="2"/>
    </row>
    <row r="363" spans="1:17" ht="15.75">
      <c r="A363" s="2"/>
      <c r="B363" s="2"/>
      <c r="C363" s="2"/>
      <c r="D363" s="2"/>
      <c r="E363" s="2"/>
      <c r="F363" s="2"/>
      <c r="G363" s="2"/>
      <c r="H363" s="2"/>
      <c r="I363" s="2"/>
      <c r="J363" s="2"/>
      <c r="K363" s="2"/>
      <c r="L363" s="2"/>
      <c r="M363" s="2"/>
      <c r="N363" s="2"/>
      <c r="O363" s="2"/>
      <c r="P363" s="1497"/>
      <c r="Q363" s="2"/>
    </row>
    <row r="364" spans="1:17" ht="15.75">
      <c r="A364" s="2"/>
      <c r="B364" s="2"/>
      <c r="C364" s="2"/>
      <c r="D364" s="2"/>
      <c r="E364" s="2"/>
      <c r="F364" s="2"/>
      <c r="G364" s="2"/>
      <c r="H364" s="2"/>
      <c r="I364" s="2"/>
      <c r="J364" s="2"/>
      <c r="K364" s="2"/>
      <c r="L364" s="2"/>
      <c r="M364" s="2"/>
      <c r="N364" s="2"/>
      <c r="O364" s="2"/>
      <c r="P364" s="1497"/>
      <c r="Q364" s="2"/>
    </row>
    <row r="365" spans="1:17" ht="15.75">
      <c r="A365" s="2"/>
      <c r="B365" s="2"/>
      <c r="C365" s="2"/>
      <c r="D365" s="2"/>
      <c r="E365" s="2"/>
      <c r="F365" s="2"/>
      <c r="G365" s="2"/>
      <c r="H365" s="2"/>
      <c r="I365" s="2"/>
      <c r="J365" s="2"/>
      <c r="K365" s="2"/>
      <c r="L365" s="2"/>
      <c r="M365" s="2"/>
      <c r="N365" s="2"/>
      <c r="O365" s="2"/>
      <c r="P365" s="1497"/>
      <c r="Q365" s="2"/>
    </row>
    <row r="366" spans="1:17" ht="15.75">
      <c r="A366" s="2"/>
      <c r="B366" s="2"/>
      <c r="C366" s="2"/>
      <c r="D366" s="2"/>
      <c r="E366" s="2"/>
      <c r="F366" s="2"/>
      <c r="G366" s="2"/>
      <c r="H366" s="2"/>
      <c r="I366" s="2"/>
      <c r="J366" s="2"/>
      <c r="K366" s="2"/>
      <c r="L366" s="2"/>
      <c r="M366" s="2"/>
      <c r="N366" s="2"/>
      <c r="O366" s="2"/>
      <c r="P366" s="1497"/>
      <c r="Q366" s="2"/>
    </row>
    <row r="367" spans="1:17" ht="15.75">
      <c r="A367" s="2"/>
      <c r="B367" s="2"/>
      <c r="C367" s="2"/>
      <c r="D367" s="2"/>
      <c r="E367" s="2"/>
      <c r="F367" s="2"/>
      <c r="G367" s="2"/>
      <c r="H367" s="2"/>
      <c r="I367" s="2"/>
      <c r="J367" s="2"/>
      <c r="K367" s="2"/>
      <c r="L367" s="2"/>
      <c r="M367" s="2"/>
      <c r="N367" s="2"/>
      <c r="O367" s="2"/>
      <c r="P367" s="1497"/>
      <c r="Q367" s="2"/>
    </row>
    <row r="368" spans="1:17" ht="15.75">
      <c r="A368" s="2"/>
      <c r="B368" s="2"/>
      <c r="C368" s="2"/>
      <c r="D368" s="2"/>
      <c r="E368" s="2"/>
      <c r="F368" s="2"/>
      <c r="G368" s="2"/>
      <c r="H368" s="2"/>
      <c r="I368" s="2"/>
      <c r="J368" s="2"/>
      <c r="K368" s="2"/>
      <c r="L368" s="2"/>
      <c r="M368" s="2"/>
      <c r="N368" s="2"/>
      <c r="O368" s="2"/>
      <c r="P368" s="1497"/>
      <c r="Q368" s="2"/>
    </row>
    <row r="369" spans="1:17" ht="15.75">
      <c r="A369" s="2"/>
      <c r="B369" s="2"/>
      <c r="C369" s="2"/>
      <c r="D369" s="2"/>
      <c r="E369" s="2"/>
      <c r="F369" s="2"/>
      <c r="G369" s="2"/>
      <c r="H369" s="2"/>
      <c r="I369" s="2"/>
      <c r="J369" s="2"/>
      <c r="K369" s="2"/>
      <c r="L369" s="2"/>
      <c r="M369" s="2"/>
      <c r="N369" s="2"/>
      <c r="O369" s="2"/>
      <c r="P369" s="1497"/>
      <c r="Q369" s="2"/>
    </row>
    <row r="370" spans="1:17" ht="15.75">
      <c r="A370" s="2"/>
      <c r="B370" s="2"/>
      <c r="C370" s="2"/>
      <c r="D370" s="2"/>
      <c r="E370" s="2"/>
      <c r="F370" s="2"/>
      <c r="G370" s="2"/>
      <c r="H370" s="2"/>
      <c r="I370" s="2"/>
      <c r="J370" s="2"/>
      <c r="K370" s="2"/>
      <c r="L370" s="2"/>
      <c r="M370" s="2"/>
      <c r="N370" s="2"/>
      <c r="O370" s="2"/>
      <c r="P370" s="1497"/>
      <c r="Q370" s="2"/>
    </row>
    <row r="371" spans="1:17" ht="15.75">
      <c r="A371" s="2"/>
      <c r="B371" s="2"/>
      <c r="C371" s="2"/>
      <c r="D371" s="2"/>
      <c r="E371" s="2"/>
      <c r="F371" s="2"/>
      <c r="G371" s="2"/>
      <c r="H371" s="2"/>
      <c r="I371" s="2"/>
      <c r="J371" s="2"/>
      <c r="K371" s="2"/>
      <c r="L371" s="2"/>
      <c r="M371" s="2"/>
      <c r="N371" s="2"/>
      <c r="O371" s="2"/>
      <c r="P371" s="1497"/>
      <c r="Q371" s="2"/>
    </row>
    <row r="372" spans="1:17" ht="15.75">
      <c r="A372" s="2"/>
      <c r="B372" s="2"/>
      <c r="C372" s="2"/>
      <c r="D372" s="2"/>
      <c r="E372" s="2"/>
      <c r="F372" s="2"/>
      <c r="G372" s="2"/>
      <c r="H372" s="2"/>
      <c r="I372" s="2"/>
      <c r="J372" s="2"/>
      <c r="K372" s="2"/>
      <c r="L372" s="2"/>
      <c r="M372" s="2"/>
      <c r="N372" s="2"/>
      <c r="O372" s="2"/>
      <c r="P372" s="1497"/>
      <c r="Q372" s="2"/>
    </row>
    <row r="373" spans="1:17" ht="15.75">
      <c r="A373" s="2"/>
      <c r="B373" s="2"/>
      <c r="C373" s="2"/>
      <c r="D373" s="2"/>
      <c r="E373" s="2"/>
      <c r="F373" s="2"/>
      <c r="G373" s="2"/>
      <c r="H373" s="2"/>
      <c r="I373" s="2"/>
      <c r="J373" s="2"/>
      <c r="K373" s="2"/>
      <c r="L373" s="2"/>
      <c r="M373" s="2"/>
      <c r="N373" s="2"/>
      <c r="O373" s="2"/>
      <c r="P373" s="1497"/>
      <c r="Q373" s="2"/>
    </row>
    <row r="374" spans="1:17" ht="15.75">
      <c r="A374" s="2"/>
      <c r="B374" s="2"/>
      <c r="C374" s="2"/>
      <c r="D374" s="2"/>
      <c r="E374" s="2"/>
      <c r="F374" s="2"/>
      <c r="G374" s="2"/>
      <c r="H374" s="2"/>
      <c r="I374" s="2"/>
      <c r="J374" s="2"/>
      <c r="K374" s="2"/>
      <c r="L374" s="2"/>
      <c r="M374" s="2"/>
      <c r="N374" s="2"/>
      <c r="O374" s="2"/>
      <c r="P374" s="1497"/>
      <c r="Q374" s="2"/>
    </row>
    <row r="375" spans="1:17" ht="15.75">
      <c r="A375" s="2"/>
      <c r="B375" s="2"/>
      <c r="C375" s="2"/>
      <c r="D375" s="2"/>
      <c r="E375" s="2"/>
      <c r="F375" s="2"/>
      <c r="G375" s="2"/>
      <c r="H375" s="2"/>
      <c r="I375" s="2"/>
      <c r="J375" s="2"/>
      <c r="K375" s="2"/>
      <c r="L375" s="2"/>
      <c r="M375" s="2"/>
      <c r="N375" s="2"/>
      <c r="O375" s="2"/>
      <c r="P375" s="1497"/>
      <c r="Q375" s="2"/>
    </row>
    <row r="376" spans="1:17" ht="15.75">
      <c r="A376" s="2"/>
      <c r="B376" s="2"/>
      <c r="C376" s="2"/>
      <c r="D376" s="2"/>
      <c r="E376" s="2"/>
      <c r="F376" s="2"/>
      <c r="G376" s="2"/>
      <c r="H376" s="2"/>
      <c r="I376" s="2"/>
      <c r="J376" s="2"/>
      <c r="K376" s="2"/>
      <c r="L376" s="2"/>
      <c r="M376" s="2"/>
      <c r="N376" s="2"/>
      <c r="O376" s="2"/>
      <c r="P376" s="1497"/>
      <c r="Q376" s="2"/>
    </row>
    <row r="377" spans="1:17" ht="15.75">
      <c r="A377" s="2"/>
      <c r="B377" s="2"/>
      <c r="C377" s="2"/>
      <c r="D377" s="2"/>
      <c r="E377" s="2"/>
      <c r="F377" s="2"/>
      <c r="G377" s="2"/>
      <c r="H377" s="2"/>
      <c r="I377" s="2"/>
      <c r="J377" s="2"/>
      <c r="K377" s="2"/>
      <c r="L377" s="2"/>
      <c r="M377" s="2"/>
      <c r="N377" s="2"/>
      <c r="O377" s="2"/>
      <c r="P377" s="1497"/>
      <c r="Q377" s="2"/>
    </row>
    <row r="378" spans="1:17" ht="15.75">
      <c r="A378" s="2"/>
      <c r="B378" s="2"/>
      <c r="C378" s="2"/>
      <c r="D378" s="2"/>
      <c r="E378" s="2"/>
      <c r="F378" s="2"/>
      <c r="G378" s="2"/>
      <c r="H378" s="2"/>
      <c r="I378" s="2"/>
      <c r="J378" s="2"/>
      <c r="K378" s="2"/>
      <c r="L378" s="2"/>
      <c r="M378" s="2"/>
      <c r="N378" s="2"/>
      <c r="O378" s="2"/>
      <c r="P378" s="1497"/>
      <c r="Q378" s="2"/>
    </row>
    <row r="379" spans="1:17" ht="15.75">
      <c r="A379" s="2"/>
      <c r="B379" s="2"/>
      <c r="C379" s="2"/>
      <c r="D379" s="2"/>
      <c r="E379" s="2"/>
      <c r="F379" s="2"/>
      <c r="G379" s="2"/>
      <c r="H379" s="2"/>
      <c r="I379" s="2"/>
      <c r="J379" s="2"/>
      <c r="K379" s="2"/>
      <c r="L379" s="2"/>
      <c r="M379" s="2"/>
      <c r="N379" s="2"/>
      <c r="O379" s="2"/>
      <c r="P379" s="1497"/>
      <c r="Q379" s="2"/>
    </row>
    <row r="380" spans="1:17" ht="15.75">
      <c r="A380" s="2"/>
      <c r="B380" s="2"/>
      <c r="C380" s="2"/>
      <c r="D380" s="2"/>
      <c r="E380" s="2"/>
      <c r="F380" s="2"/>
      <c r="G380" s="2"/>
      <c r="H380" s="2"/>
      <c r="I380" s="2"/>
      <c r="J380" s="2"/>
      <c r="K380" s="2"/>
      <c r="L380" s="2"/>
      <c r="M380" s="2"/>
      <c r="N380" s="2"/>
      <c r="O380" s="2"/>
      <c r="P380" s="1497"/>
      <c r="Q380" s="2"/>
    </row>
    <row r="381" spans="1:17" ht="15.75">
      <c r="A381" s="2"/>
      <c r="B381" s="2"/>
      <c r="C381" s="2"/>
      <c r="D381" s="2"/>
      <c r="E381" s="2"/>
      <c r="F381" s="2"/>
      <c r="G381" s="2"/>
      <c r="H381" s="2"/>
      <c r="I381" s="2"/>
      <c r="J381" s="2"/>
      <c r="K381" s="2"/>
      <c r="L381" s="2"/>
      <c r="M381" s="2"/>
      <c r="N381" s="2"/>
      <c r="O381" s="2"/>
      <c r="P381" s="1497"/>
      <c r="Q381" s="2"/>
    </row>
    <row r="382" spans="1:17" ht="15.75">
      <c r="A382" s="2"/>
      <c r="B382" s="2"/>
      <c r="C382" s="2"/>
      <c r="D382" s="2"/>
      <c r="E382" s="2"/>
      <c r="F382" s="2"/>
      <c r="G382" s="2"/>
      <c r="H382" s="2"/>
      <c r="I382" s="2"/>
      <c r="J382" s="2"/>
      <c r="K382" s="2"/>
      <c r="L382" s="2"/>
      <c r="M382" s="2"/>
      <c r="N382" s="2"/>
      <c r="O382" s="2"/>
      <c r="P382" s="1497"/>
      <c r="Q382" s="2"/>
    </row>
    <row r="383" spans="1:17" ht="15.75">
      <c r="A383" s="2"/>
      <c r="B383" s="2"/>
      <c r="C383" s="2"/>
      <c r="D383" s="2"/>
      <c r="E383" s="2"/>
      <c r="F383" s="2"/>
      <c r="G383" s="2"/>
      <c r="H383" s="2"/>
      <c r="I383" s="2"/>
      <c r="J383" s="2"/>
      <c r="K383" s="2"/>
      <c r="L383" s="2"/>
      <c r="M383" s="2"/>
      <c r="N383" s="2"/>
      <c r="O383" s="2"/>
      <c r="P383" s="1497"/>
      <c r="Q383" s="2"/>
    </row>
    <row r="384" spans="1:17" ht="15.75">
      <c r="A384" s="2"/>
      <c r="B384" s="2"/>
      <c r="C384" s="2"/>
      <c r="D384" s="2"/>
      <c r="E384" s="2"/>
      <c r="F384" s="2"/>
      <c r="G384" s="2"/>
      <c r="H384" s="2"/>
      <c r="I384" s="2"/>
      <c r="J384" s="2"/>
      <c r="K384" s="2"/>
      <c r="L384" s="2"/>
      <c r="M384" s="2"/>
      <c r="N384" s="2"/>
      <c r="O384" s="2"/>
      <c r="P384" s="1497"/>
      <c r="Q384" s="2"/>
    </row>
    <row r="385" spans="1:17" ht="15.75">
      <c r="A385" s="2"/>
      <c r="B385" s="2"/>
      <c r="C385" s="2"/>
      <c r="D385" s="2"/>
      <c r="E385" s="2"/>
      <c r="F385" s="2"/>
      <c r="G385" s="2"/>
      <c r="H385" s="2"/>
      <c r="I385" s="2"/>
      <c r="J385" s="2"/>
      <c r="K385" s="2"/>
      <c r="L385" s="2"/>
      <c r="M385" s="2"/>
      <c r="N385" s="2"/>
      <c r="O385" s="2"/>
      <c r="P385" s="1497"/>
      <c r="Q385" s="2"/>
    </row>
    <row r="386" spans="1:17" ht="15.75">
      <c r="A386" s="2"/>
      <c r="B386" s="2"/>
      <c r="C386" s="2"/>
      <c r="D386" s="2"/>
      <c r="E386" s="2"/>
      <c r="F386" s="2"/>
      <c r="G386" s="2"/>
      <c r="H386" s="2"/>
      <c r="I386" s="2"/>
      <c r="J386" s="2"/>
      <c r="K386" s="2"/>
      <c r="L386" s="2"/>
      <c r="M386" s="2"/>
      <c r="N386" s="2"/>
      <c r="O386" s="2"/>
      <c r="P386" s="1497"/>
      <c r="Q386" s="2"/>
    </row>
    <row r="387" spans="1:17" ht="15.75">
      <c r="A387" s="2"/>
      <c r="B387" s="2"/>
      <c r="C387" s="2"/>
      <c r="D387" s="2"/>
      <c r="E387" s="2"/>
      <c r="F387" s="2"/>
      <c r="G387" s="2"/>
      <c r="H387" s="2"/>
      <c r="I387" s="2"/>
      <c r="J387" s="2"/>
      <c r="K387" s="2"/>
      <c r="L387" s="2"/>
      <c r="M387" s="2"/>
      <c r="N387" s="2"/>
      <c r="O387" s="2"/>
      <c r="P387" s="1497"/>
      <c r="Q387" s="2"/>
    </row>
    <row r="388" spans="1:17" ht="15.75">
      <c r="A388" s="2"/>
      <c r="B388" s="2"/>
      <c r="C388" s="2"/>
      <c r="D388" s="2"/>
      <c r="E388" s="2"/>
      <c r="F388" s="2"/>
      <c r="G388" s="2"/>
      <c r="H388" s="2"/>
      <c r="I388" s="2"/>
      <c r="J388" s="2"/>
      <c r="K388" s="2"/>
      <c r="L388" s="2"/>
      <c r="M388" s="2"/>
      <c r="N388" s="2"/>
      <c r="O388" s="2"/>
      <c r="P388" s="1497"/>
      <c r="Q388" s="2"/>
    </row>
    <row r="389" spans="1:17" ht="15.75">
      <c r="A389" s="2"/>
      <c r="B389" s="2"/>
      <c r="C389" s="2"/>
      <c r="D389" s="2"/>
      <c r="E389" s="2"/>
      <c r="F389" s="2"/>
      <c r="G389" s="2"/>
      <c r="H389" s="2"/>
      <c r="I389" s="2"/>
      <c r="J389" s="2"/>
      <c r="K389" s="2"/>
      <c r="L389" s="2"/>
      <c r="M389" s="2"/>
      <c r="N389" s="2"/>
      <c r="O389" s="2"/>
      <c r="P389" s="1497"/>
      <c r="Q389" s="2"/>
    </row>
    <row r="390" spans="1:17" ht="15.75">
      <c r="A390" s="2"/>
      <c r="B390" s="2"/>
      <c r="C390" s="2"/>
      <c r="D390" s="2"/>
      <c r="E390" s="2"/>
      <c r="F390" s="2"/>
      <c r="G390" s="2"/>
      <c r="H390" s="2"/>
      <c r="I390" s="2"/>
      <c r="J390" s="2"/>
      <c r="K390" s="2"/>
      <c r="L390" s="2"/>
      <c r="M390" s="2"/>
      <c r="N390" s="2"/>
      <c r="O390" s="2"/>
      <c r="P390" s="1497"/>
      <c r="Q390" s="2"/>
    </row>
    <row r="391" spans="1:17" ht="15.75">
      <c r="A391" s="2"/>
      <c r="B391" s="2"/>
      <c r="C391" s="2"/>
      <c r="D391" s="2"/>
      <c r="E391" s="2"/>
      <c r="F391" s="2"/>
      <c r="G391" s="2"/>
      <c r="H391" s="2"/>
      <c r="I391" s="2"/>
      <c r="J391" s="2"/>
      <c r="K391" s="2"/>
      <c r="L391" s="2"/>
      <c r="M391" s="2"/>
      <c r="N391" s="2"/>
      <c r="O391" s="2"/>
      <c r="P391" s="1497"/>
      <c r="Q391" s="2"/>
    </row>
    <row r="392" spans="1:17" ht="15.75">
      <c r="A392" s="2"/>
      <c r="B392" s="2"/>
      <c r="C392" s="2"/>
      <c r="D392" s="2"/>
      <c r="E392" s="2"/>
      <c r="F392" s="2"/>
      <c r="G392" s="2"/>
      <c r="H392" s="2"/>
      <c r="I392" s="2"/>
      <c r="J392" s="2"/>
      <c r="K392" s="2"/>
      <c r="L392" s="2"/>
      <c r="M392" s="2"/>
      <c r="N392" s="2"/>
      <c r="O392" s="2"/>
      <c r="P392" s="1497"/>
      <c r="Q392" s="2"/>
    </row>
    <row r="393" spans="1:17" ht="15.75">
      <c r="A393" s="2"/>
      <c r="B393" s="2"/>
      <c r="C393" s="2"/>
      <c r="D393" s="2"/>
      <c r="E393" s="2"/>
      <c r="F393" s="2"/>
      <c r="G393" s="2"/>
      <c r="H393" s="2"/>
      <c r="I393" s="2"/>
      <c r="J393" s="2"/>
      <c r="K393" s="2"/>
      <c r="L393" s="2"/>
      <c r="M393" s="2"/>
      <c r="N393" s="2"/>
      <c r="O393" s="2"/>
      <c r="P393" s="1497"/>
      <c r="Q393" s="2"/>
    </row>
    <row r="394" spans="1:17" ht="15.75">
      <c r="A394" s="2"/>
      <c r="B394" s="2"/>
      <c r="C394" s="2"/>
      <c r="D394" s="2"/>
      <c r="E394" s="2"/>
      <c r="F394" s="2"/>
      <c r="G394" s="2"/>
      <c r="H394" s="2"/>
      <c r="I394" s="2"/>
      <c r="J394" s="2"/>
      <c r="K394" s="2"/>
      <c r="L394" s="2"/>
      <c r="M394" s="2"/>
      <c r="N394" s="2"/>
      <c r="O394" s="2"/>
      <c r="P394" s="1497"/>
      <c r="Q394" s="2"/>
    </row>
    <row r="395" spans="1:17" ht="15.75">
      <c r="A395" s="2"/>
      <c r="B395" s="2"/>
      <c r="C395" s="2"/>
      <c r="D395" s="2"/>
      <c r="E395" s="2"/>
      <c r="F395" s="2"/>
      <c r="G395" s="2"/>
      <c r="H395" s="2"/>
      <c r="I395" s="2"/>
      <c r="J395" s="2"/>
      <c r="K395" s="2"/>
      <c r="L395" s="2"/>
      <c r="M395" s="2"/>
      <c r="N395" s="2"/>
      <c r="O395" s="2"/>
      <c r="P395" s="1497"/>
      <c r="Q395" s="2"/>
    </row>
    <row r="396" spans="1:17" ht="15.75">
      <c r="A396" s="2"/>
      <c r="B396" s="2"/>
      <c r="C396" s="2"/>
      <c r="D396" s="2"/>
      <c r="E396" s="2"/>
      <c r="F396" s="2"/>
      <c r="G396" s="2"/>
      <c r="H396" s="2"/>
      <c r="I396" s="2"/>
      <c r="J396" s="2"/>
      <c r="K396" s="2"/>
      <c r="L396" s="2"/>
      <c r="M396" s="2"/>
      <c r="N396" s="2"/>
      <c r="O396" s="2"/>
      <c r="P396" s="1497"/>
      <c r="Q396" s="2"/>
    </row>
    <row r="397" spans="1:17" ht="15.75">
      <c r="A397" s="2"/>
      <c r="B397" s="2"/>
      <c r="C397" s="2"/>
      <c r="D397" s="2"/>
      <c r="E397" s="2"/>
      <c r="F397" s="2"/>
      <c r="G397" s="2"/>
      <c r="H397" s="2"/>
      <c r="I397" s="2"/>
      <c r="J397" s="2"/>
      <c r="K397" s="2"/>
      <c r="L397" s="2"/>
      <c r="M397" s="2"/>
      <c r="N397" s="2"/>
      <c r="O397" s="2"/>
      <c r="P397" s="1497"/>
      <c r="Q397" s="2"/>
    </row>
    <row r="398" spans="1:17" ht="15.75">
      <c r="A398" s="2"/>
      <c r="B398" s="2"/>
      <c r="C398" s="2"/>
      <c r="D398" s="2"/>
      <c r="E398" s="2"/>
      <c r="F398" s="2"/>
      <c r="G398" s="2"/>
      <c r="H398" s="2"/>
      <c r="I398" s="2"/>
      <c r="J398" s="2"/>
      <c r="K398" s="2"/>
      <c r="L398" s="2"/>
      <c r="M398" s="2"/>
      <c r="N398" s="2"/>
      <c r="O398" s="2"/>
      <c r="P398" s="1497"/>
      <c r="Q398" s="2"/>
    </row>
    <row r="399" spans="1:17" ht="15.75">
      <c r="A399" s="2"/>
      <c r="B399" s="2"/>
      <c r="C399" s="2"/>
      <c r="D399" s="2"/>
      <c r="E399" s="2"/>
      <c r="F399" s="2"/>
      <c r="G399" s="2"/>
      <c r="H399" s="2"/>
      <c r="I399" s="2"/>
      <c r="J399" s="2"/>
      <c r="K399" s="2"/>
      <c r="L399" s="2"/>
      <c r="M399" s="2"/>
      <c r="N399" s="2"/>
      <c r="O399" s="2"/>
      <c r="P399" s="1497"/>
      <c r="Q399" s="2"/>
    </row>
    <row r="400" spans="1:17" ht="15.75">
      <c r="A400" s="2"/>
      <c r="B400" s="2"/>
      <c r="C400" s="2"/>
      <c r="D400" s="2"/>
      <c r="E400" s="2"/>
      <c r="F400" s="2"/>
      <c r="G400" s="2"/>
      <c r="H400" s="2"/>
      <c r="I400" s="2"/>
      <c r="J400" s="2"/>
      <c r="K400" s="2"/>
      <c r="L400" s="2"/>
      <c r="M400" s="2"/>
      <c r="N400" s="2"/>
      <c r="O400" s="2"/>
      <c r="P400" s="1497"/>
      <c r="Q400" s="2"/>
    </row>
    <row r="401" spans="1:17" ht="15.75">
      <c r="A401" s="2"/>
      <c r="B401" s="2"/>
      <c r="C401" s="2"/>
      <c r="D401" s="2"/>
      <c r="E401" s="2"/>
      <c r="F401" s="2"/>
      <c r="G401" s="2"/>
      <c r="H401" s="2"/>
      <c r="I401" s="2"/>
      <c r="J401" s="2"/>
      <c r="K401" s="2"/>
      <c r="L401" s="2"/>
      <c r="M401" s="2"/>
      <c r="N401" s="2"/>
      <c r="O401" s="2"/>
      <c r="P401" s="1497"/>
      <c r="Q401" s="2"/>
    </row>
    <row r="402" spans="1:17" ht="15.75">
      <c r="A402" s="2"/>
      <c r="B402" s="2"/>
      <c r="C402" s="2"/>
      <c r="D402" s="2"/>
      <c r="E402" s="2"/>
      <c r="F402" s="2"/>
      <c r="G402" s="2"/>
      <c r="H402" s="2"/>
      <c r="I402" s="2"/>
      <c r="J402" s="2"/>
      <c r="K402" s="2"/>
      <c r="L402" s="2"/>
      <c r="M402" s="2"/>
      <c r="N402" s="2"/>
      <c r="O402" s="2"/>
      <c r="P402" s="1497"/>
      <c r="Q402" s="2"/>
    </row>
    <row r="403" spans="1:17" ht="15.75">
      <c r="A403" s="2"/>
      <c r="B403" s="2"/>
      <c r="C403" s="2"/>
      <c r="D403" s="2"/>
      <c r="E403" s="2"/>
      <c r="F403" s="2"/>
      <c r="G403" s="2"/>
      <c r="H403" s="2"/>
      <c r="I403" s="2"/>
      <c r="J403" s="2"/>
      <c r="K403" s="2"/>
      <c r="L403" s="2"/>
      <c r="M403" s="2"/>
      <c r="N403" s="2"/>
      <c r="O403" s="2"/>
      <c r="P403" s="1497"/>
      <c r="Q403" s="2"/>
    </row>
    <row r="404" spans="1:17" ht="15.75">
      <c r="A404" s="2"/>
      <c r="B404" s="2"/>
      <c r="C404" s="2"/>
      <c r="D404" s="2"/>
      <c r="E404" s="2"/>
      <c r="F404" s="2"/>
      <c r="G404" s="2"/>
      <c r="H404" s="2"/>
      <c r="I404" s="2"/>
      <c r="J404" s="2"/>
      <c r="K404" s="2"/>
      <c r="L404" s="2"/>
      <c r="M404" s="2"/>
      <c r="N404" s="2"/>
      <c r="O404" s="2"/>
      <c r="P404" s="1497"/>
      <c r="Q404" s="2"/>
    </row>
    <row r="405" spans="1:17" ht="15.75">
      <c r="A405" s="2"/>
      <c r="B405" s="2"/>
      <c r="C405" s="2"/>
      <c r="D405" s="2"/>
      <c r="E405" s="2"/>
      <c r="F405" s="2"/>
      <c r="G405" s="2"/>
      <c r="H405" s="2"/>
      <c r="I405" s="2"/>
      <c r="J405" s="2"/>
      <c r="K405" s="2"/>
      <c r="L405" s="2"/>
      <c r="M405" s="2"/>
      <c r="N405" s="2"/>
      <c r="O405" s="2"/>
      <c r="P405" s="1497"/>
      <c r="Q405" s="2"/>
    </row>
    <row r="406" spans="1:17" ht="15.75">
      <c r="A406" s="2"/>
      <c r="B406" s="2"/>
      <c r="C406" s="2"/>
      <c r="D406" s="2"/>
      <c r="E406" s="2"/>
      <c r="F406" s="2"/>
      <c r="G406" s="2"/>
      <c r="H406" s="2"/>
      <c r="I406" s="2"/>
      <c r="J406" s="2"/>
      <c r="K406" s="2"/>
      <c r="L406" s="2"/>
      <c r="M406" s="2"/>
      <c r="N406" s="2"/>
      <c r="O406" s="2"/>
      <c r="P406" s="1497"/>
      <c r="Q406" s="2"/>
    </row>
    <row r="407" spans="1:17" ht="15.75">
      <c r="A407" s="2"/>
      <c r="B407" s="2"/>
      <c r="C407" s="2"/>
      <c r="D407" s="2"/>
      <c r="E407" s="2"/>
      <c r="F407" s="2"/>
      <c r="G407" s="2"/>
      <c r="H407" s="2"/>
      <c r="I407" s="2"/>
      <c r="J407" s="2"/>
      <c r="K407" s="2"/>
      <c r="L407" s="2"/>
      <c r="M407" s="2"/>
      <c r="N407" s="2"/>
      <c r="O407" s="2"/>
      <c r="P407" s="1497"/>
      <c r="Q407" s="2"/>
    </row>
    <row r="408" spans="1:17" ht="15.75">
      <c r="A408" s="2"/>
      <c r="B408" s="2"/>
      <c r="C408" s="2"/>
      <c r="D408" s="2"/>
      <c r="E408" s="2"/>
      <c r="F408" s="2"/>
      <c r="G408" s="2"/>
      <c r="H408" s="2"/>
      <c r="I408" s="2"/>
      <c r="J408" s="2"/>
      <c r="K408" s="2"/>
      <c r="L408" s="2"/>
      <c r="M408" s="2"/>
      <c r="N408" s="2"/>
      <c r="O408" s="2"/>
      <c r="P408" s="1497"/>
      <c r="Q408" s="2"/>
    </row>
    <row r="409" spans="1:17" ht="15.75">
      <c r="A409" s="2"/>
      <c r="B409" s="2"/>
      <c r="C409" s="2"/>
      <c r="D409" s="2"/>
      <c r="E409" s="2"/>
      <c r="F409" s="2"/>
      <c r="G409" s="2"/>
      <c r="H409" s="2"/>
      <c r="I409" s="2"/>
      <c r="J409" s="2"/>
      <c r="K409" s="2"/>
      <c r="L409" s="2"/>
      <c r="M409" s="2"/>
      <c r="N409" s="2"/>
      <c r="O409" s="2"/>
      <c r="P409" s="1497"/>
      <c r="Q409" s="2"/>
    </row>
    <row r="410" spans="1:17" ht="15.75">
      <c r="A410" s="2"/>
      <c r="B410" s="2"/>
      <c r="C410" s="2"/>
      <c r="D410" s="2"/>
      <c r="E410" s="2"/>
      <c r="F410" s="2"/>
      <c r="G410" s="2"/>
      <c r="H410" s="2"/>
      <c r="I410" s="2"/>
      <c r="J410" s="2"/>
      <c r="K410" s="2"/>
      <c r="L410" s="2"/>
      <c r="M410" s="2"/>
      <c r="N410" s="2"/>
      <c r="O410" s="2"/>
      <c r="P410" s="1497"/>
      <c r="Q410" s="2"/>
    </row>
    <row r="411" spans="1:17" ht="15.75">
      <c r="A411" s="2"/>
      <c r="B411" s="2"/>
      <c r="C411" s="2"/>
      <c r="D411" s="2"/>
      <c r="E411" s="2"/>
      <c r="F411" s="2"/>
      <c r="G411" s="2"/>
      <c r="H411" s="2"/>
      <c r="I411" s="2"/>
      <c r="J411" s="2"/>
      <c r="K411" s="2"/>
      <c r="L411" s="2"/>
      <c r="M411" s="2"/>
      <c r="N411" s="2"/>
      <c r="O411" s="2"/>
      <c r="P411" s="1497"/>
      <c r="Q411" s="2"/>
    </row>
    <row r="412" spans="1:17" ht="15.75">
      <c r="A412" s="2"/>
      <c r="B412" s="2"/>
      <c r="C412" s="2"/>
      <c r="D412" s="2"/>
      <c r="E412" s="2"/>
      <c r="F412" s="2"/>
      <c r="G412" s="2"/>
      <c r="H412" s="2"/>
      <c r="I412" s="2"/>
      <c r="J412" s="2"/>
      <c r="K412" s="2"/>
      <c r="L412" s="2"/>
      <c r="M412" s="2"/>
      <c r="N412" s="2"/>
      <c r="O412" s="2"/>
      <c r="P412" s="1497"/>
      <c r="Q412" s="2"/>
    </row>
    <row r="413" spans="1:17" ht="15.75">
      <c r="A413" s="2"/>
      <c r="B413" s="2"/>
      <c r="C413" s="2"/>
      <c r="D413" s="2"/>
      <c r="E413" s="2"/>
      <c r="F413" s="2"/>
      <c r="G413" s="2"/>
      <c r="H413" s="2"/>
      <c r="I413" s="2"/>
      <c r="J413" s="2"/>
      <c r="K413" s="2"/>
      <c r="L413" s="2"/>
      <c r="M413" s="2"/>
      <c r="N413" s="2"/>
      <c r="O413" s="2"/>
      <c r="P413" s="1497"/>
      <c r="Q413" s="2"/>
    </row>
    <row r="414" spans="1:17" ht="15.75">
      <c r="A414" s="2"/>
      <c r="B414" s="2"/>
      <c r="C414" s="2"/>
      <c r="D414" s="2"/>
      <c r="E414" s="2"/>
      <c r="F414" s="2"/>
      <c r="G414" s="2"/>
      <c r="H414" s="2"/>
      <c r="I414" s="2"/>
      <c r="J414" s="2"/>
      <c r="K414" s="2"/>
      <c r="L414" s="2"/>
      <c r="M414" s="2"/>
      <c r="N414" s="2"/>
      <c r="O414" s="2"/>
      <c r="P414" s="1497"/>
      <c r="Q414" s="2"/>
    </row>
    <row r="415" spans="1:17" ht="15.75">
      <c r="A415" s="2"/>
      <c r="B415" s="2"/>
      <c r="C415" s="2"/>
      <c r="D415" s="2"/>
      <c r="E415" s="2"/>
      <c r="F415" s="2"/>
      <c r="G415" s="2"/>
      <c r="H415" s="2"/>
      <c r="I415" s="2"/>
      <c r="J415" s="2"/>
      <c r="K415" s="2"/>
      <c r="L415" s="2"/>
      <c r="M415" s="2"/>
      <c r="N415" s="2"/>
      <c r="O415" s="2"/>
      <c r="P415" s="1497"/>
      <c r="Q415" s="2"/>
    </row>
    <row r="416" spans="1:17" ht="15.75">
      <c r="A416" s="2"/>
      <c r="B416" s="2"/>
      <c r="C416" s="2"/>
      <c r="D416" s="2"/>
      <c r="E416" s="2"/>
      <c r="F416" s="2"/>
      <c r="G416" s="2"/>
      <c r="H416" s="2"/>
      <c r="I416" s="2"/>
      <c r="J416" s="2"/>
      <c r="K416" s="2"/>
      <c r="L416" s="2"/>
      <c r="M416" s="2"/>
      <c r="N416" s="2"/>
      <c r="O416" s="2"/>
      <c r="P416" s="1497"/>
      <c r="Q416" s="2"/>
    </row>
    <row r="417" spans="1:17" ht="15.75">
      <c r="A417" s="2"/>
      <c r="B417" s="2"/>
      <c r="C417" s="2"/>
      <c r="D417" s="2"/>
      <c r="E417" s="2"/>
      <c r="F417" s="2"/>
      <c r="G417" s="2"/>
      <c r="H417" s="2"/>
      <c r="I417" s="2"/>
      <c r="J417" s="2"/>
      <c r="K417" s="2"/>
      <c r="L417" s="2"/>
      <c r="M417" s="2"/>
      <c r="N417" s="2"/>
      <c r="O417" s="2"/>
      <c r="P417" s="1497"/>
      <c r="Q417" s="2"/>
    </row>
    <row r="418" spans="1:17" ht="15.75">
      <c r="A418" s="2"/>
      <c r="B418" s="2"/>
      <c r="C418" s="2"/>
      <c r="D418" s="2"/>
      <c r="E418" s="2"/>
      <c r="F418" s="2"/>
      <c r="G418" s="2"/>
      <c r="H418" s="2"/>
      <c r="I418" s="2"/>
      <c r="J418" s="2"/>
      <c r="K418" s="2"/>
      <c r="L418" s="2"/>
      <c r="M418" s="2"/>
      <c r="N418" s="2"/>
      <c r="O418" s="2"/>
      <c r="P418" s="1497"/>
      <c r="Q418" s="2"/>
    </row>
    <row r="419" spans="1:17" ht="15.75">
      <c r="A419" s="2"/>
      <c r="B419" s="2"/>
      <c r="C419" s="2"/>
      <c r="D419" s="2"/>
      <c r="E419" s="2"/>
      <c r="F419" s="2"/>
      <c r="G419" s="2"/>
      <c r="H419" s="2"/>
      <c r="I419" s="2"/>
      <c r="J419" s="2"/>
      <c r="K419" s="2"/>
      <c r="L419" s="2"/>
      <c r="M419" s="2"/>
      <c r="N419" s="2"/>
      <c r="O419" s="2"/>
      <c r="P419" s="1497"/>
      <c r="Q419" s="2"/>
    </row>
    <row r="420" spans="1:17" ht="15.75">
      <c r="A420" s="2"/>
      <c r="B420" s="2"/>
      <c r="C420" s="2"/>
      <c r="D420" s="2"/>
      <c r="E420" s="2"/>
      <c r="F420" s="2"/>
      <c r="G420" s="2"/>
      <c r="H420" s="2"/>
      <c r="I420" s="2"/>
      <c r="J420" s="2"/>
      <c r="K420" s="2"/>
      <c r="L420" s="2"/>
      <c r="M420" s="2"/>
      <c r="N420" s="2"/>
      <c r="O420" s="2"/>
      <c r="P420" s="1497"/>
      <c r="Q420" s="2"/>
    </row>
    <row r="421" spans="1:17" ht="15.75">
      <c r="A421" s="2"/>
      <c r="B421" s="2"/>
      <c r="C421" s="2"/>
      <c r="D421" s="2"/>
      <c r="E421" s="2"/>
      <c r="F421" s="2"/>
      <c r="G421" s="2"/>
      <c r="H421" s="2"/>
      <c r="I421" s="2"/>
      <c r="J421" s="2"/>
      <c r="K421" s="2"/>
      <c r="L421" s="2"/>
      <c r="M421" s="2"/>
      <c r="N421" s="2"/>
      <c r="O421" s="2"/>
      <c r="P421" s="1497"/>
      <c r="Q421" s="2"/>
    </row>
    <row r="422" spans="1:17" ht="15.75">
      <c r="A422" s="2"/>
      <c r="B422" s="2"/>
      <c r="C422" s="2"/>
      <c r="D422" s="2"/>
      <c r="E422" s="2"/>
      <c r="F422" s="2"/>
      <c r="G422" s="2"/>
      <c r="H422" s="2"/>
      <c r="I422" s="2"/>
      <c r="J422" s="2"/>
      <c r="K422" s="2"/>
      <c r="L422" s="2"/>
      <c r="M422" s="2"/>
      <c r="N422" s="2"/>
      <c r="O422" s="2"/>
      <c r="P422" s="1497"/>
      <c r="Q422" s="2"/>
    </row>
    <row r="423" spans="1:17" ht="15.75">
      <c r="A423" s="2"/>
      <c r="B423" s="2"/>
      <c r="C423" s="2"/>
      <c r="D423" s="2"/>
      <c r="E423" s="2"/>
      <c r="F423" s="2"/>
      <c r="G423" s="2"/>
      <c r="H423" s="2"/>
      <c r="I423" s="2"/>
      <c r="J423" s="2"/>
      <c r="K423" s="2"/>
      <c r="L423" s="2"/>
      <c r="M423" s="2"/>
      <c r="N423" s="2"/>
      <c r="O423" s="2"/>
      <c r="P423" s="1497"/>
      <c r="Q423" s="2"/>
    </row>
    <row r="424" spans="1:17" ht="15.75">
      <c r="A424" s="2"/>
      <c r="B424" s="2"/>
      <c r="C424" s="2"/>
      <c r="D424" s="2"/>
      <c r="E424" s="2"/>
      <c r="F424" s="2"/>
      <c r="G424" s="2"/>
      <c r="H424" s="2"/>
      <c r="I424" s="2"/>
      <c r="J424" s="2"/>
      <c r="K424" s="2"/>
      <c r="L424" s="2"/>
      <c r="M424" s="2"/>
      <c r="N424" s="2"/>
      <c r="O424" s="2"/>
      <c r="P424" s="1497"/>
      <c r="Q424" s="2"/>
    </row>
    <row r="425" spans="1:17" ht="15.75">
      <c r="A425" s="2"/>
      <c r="B425" s="2"/>
      <c r="C425" s="2"/>
      <c r="D425" s="2"/>
      <c r="E425" s="2"/>
      <c r="F425" s="2"/>
      <c r="G425" s="2"/>
      <c r="H425" s="2"/>
      <c r="I425" s="2"/>
      <c r="J425" s="2"/>
      <c r="K425" s="2"/>
      <c r="L425" s="2"/>
      <c r="M425" s="2"/>
      <c r="N425" s="2"/>
      <c r="O425" s="2"/>
      <c r="P425" s="1497"/>
      <c r="Q425" s="2"/>
    </row>
    <row r="426" spans="1:17" ht="15.75">
      <c r="A426" s="2"/>
      <c r="B426" s="2"/>
      <c r="C426" s="2"/>
      <c r="D426" s="2"/>
      <c r="E426" s="2"/>
      <c r="F426" s="2"/>
      <c r="G426" s="2"/>
      <c r="H426" s="2"/>
      <c r="I426" s="2"/>
      <c r="J426" s="2"/>
      <c r="K426" s="2"/>
      <c r="L426" s="2"/>
      <c r="M426" s="2"/>
      <c r="N426" s="2"/>
      <c r="O426" s="2"/>
      <c r="P426" s="1497"/>
      <c r="Q426" s="2"/>
    </row>
    <row r="427" spans="1:17" ht="15.75">
      <c r="A427" s="2"/>
      <c r="B427" s="2"/>
      <c r="C427" s="2"/>
      <c r="D427" s="2"/>
      <c r="E427" s="2"/>
      <c r="F427" s="2"/>
      <c r="G427" s="2"/>
      <c r="H427" s="2"/>
      <c r="I427" s="2"/>
      <c r="J427" s="2"/>
      <c r="K427" s="2"/>
      <c r="L427" s="2"/>
      <c r="M427" s="2"/>
      <c r="N427" s="2"/>
      <c r="O427" s="2"/>
      <c r="P427" s="1497"/>
      <c r="Q427" s="2"/>
    </row>
    <row r="428" spans="1:17" ht="15.75">
      <c r="A428" s="2"/>
      <c r="B428" s="2"/>
      <c r="C428" s="2"/>
      <c r="D428" s="2"/>
      <c r="E428" s="2"/>
      <c r="F428" s="2"/>
      <c r="G428" s="2"/>
      <c r="H428" s="2"/>
      <c r="I428" s="2"/>
      <c r="J428" s="2"/>
      <c r="K428" s="2"/>
      <c r="L428" s="2"/>
      <c r="M428" s="2"/>
      <c r="N428" s="2"/>
      <c r="O428" s="2"/>
      <c r="P428" s="1497"/>
      <c r="Q428" s="2"/>
    </row>
    <row r="429" spans="1:17" ht="15.75">
      <c r="A429" s="2"/>
      <c r="B429" s="2"/>
      <c r="C429" s="2"/>
      <c r="D429" s="2"/>
      <c r="E429" s="2"/>
      <c r="F429" s="2"/>
      <c r="G429" s="2"/>
      <c r="H429" s="2"/>
      <c r="I429" s="2"/>
      <c r="J429" s="2"/>
      <c r="K429" s="2"/>
      <c r="L429" s="2"/>
      <c r="M429" s="2"/>
      <c r="N429" s="2"/>
      <c r="O429" s="2"/>
      <c r="P429" s="1497"/>
      <c r="Q429" s="2"/>
    </row>
    <row r="430" spans="1:17" ht="15.75">
      <c r="A430" s="2"/>
      <c r="B430" s="2"/>
      <c r="C430" s="2"/>
      <c r="D430" s="2"/>
      <c r="E430" s="2"/>
      <c r="F430" s="2"/>
      <c r="G430" s="2"/>
      <c r="H430" s="2"/>
      <c r="I430" s="2"/>
      <c r="J430" s="2"/>
      <c r="K430" s="2"/>
      <c r="L430" s="2"/>
      <c r="M430" s="2"/>
      <c r="N430" s="2"/>
      <c r="O430" s="2"/>
      <c r="P430" s="1497"/>
      <c r="Q430" s="2"/>
    </row>
    <row r="431" spans="1:17" ht="15.75">
      <c r="A431" s="2"/>
      <c r="B431" s="2"/>
      <c r="C431" s="2"/>
      <c r="D431" s="2"/>
      <c r="E431" s="2"/>
      <c r="F431" s="2"/>
      <c r="G431" s="2"/>
      <c r="H431" s="2"/>
      <c r="I431" s="2"/>
      <c r="J431" s="2"/>
      <c r="K431" s="2"/>
      <c r="L431" s="2"/>
      <c r="M431" s="2"/>
      <c r="N431" s="2"/>
      <c r="O431" s="2"/>
      <c r="P431" s="1497"/>
      <c r="Q431" s="2"/>
    </row>
    <row r="432" spans="1:17" ht="15.75">
      <c r="A432" s="2"/>
      <c r="B432" s="2"/>
      <c r="C432" s="2"/>
      <c r="D432" s="2"/>
      <c r="E432" s="2"/>
      <c r="F432" s="2"/>
      <c r="G432" s="2"/>
      <c r="H432" s="2"/>
      <c r="I432" s="2"/>
      <c r="J432" s="2"/>
      <c r="K432" s="2"/>
      <c r="L432" s="2"/>
      <c r="M432" s="2"/>
      <c r="N432" s="2"/>
      <c r="O432" s="2"/>
      <c r="P432" s="1497"/>
      <c r="Q432" s="2"/>
    </row>
    <row r="433" spans="1:17" ht="15.75">
      <c r="A433" s="2"/>
      <c r="B433" s="2"/>
      <c r="C433" s="2"/>
      <c r="D433" s="2"/>
      <c r="E433" s="2"/>
      <c r="F433" s="2"/>
      <c r="G433" s="2"/>
      <c r="H433" s="2"/>
      <c r="I433" s="2"/>
      <c r="J433" s="2"/>
      <c r="K433" s="2"/>
      <c r="L433" s="2"/>
      <c r="M433" s="2"/>
      <c r="N433" s="2"/>
      <c r="O433" s="2"/>
      <c r="P433" s="1497"/>
      <c r="Q433" s="2"/>
    </row>
    <row r="434" spans="1:17" ht="15.75">
      <c r="A434" s="2"/>
      <c r="B434" s="2"/>
      <c r="C434" s="2"/>
      <c r="D434" s="2"/>
      <c r="E434" s="2"/>
      <c r="F434" s="2"/>
      <c r="G434" s="2"/>
      <c r="H434" s="2"/>
      <c r="I434" s="2"/>
      <c r="J434" s="2"/>
      <c r="K434" s="2"/>
      <c r="L434" s="2"/>
      <c r="M434" s="2"/>
      <c r="N434" s="2"/>
      <c r="O434" s="2"/>
      <c r="P434" s="1497"/>
      <c r="Q434" s="2"/>
    </row>
    <row r="435" spans="1:17" ht="15.75">
      <c r="A435" s="2"/>
      <c r="B435" s="2"/>
      <c r="C435" s="2"/>
      <c r="D435" s="2"/>
      <c r="E435" s="2"/>
      <c r="F435" s="2"/>
      <c r="G435" s="2"/>
      <c r="H435" s="2"/>
      <c r="I435" s="2"/>
      <c r="J435" s="2"/>
      <c r="K435" s="2"/>
      <c r="L435" s="2"/>
      <c r="M435" s="2"/>
      <c r="N435" s="2"/>
      <c r="O435" s="2"/>
      <c r="P435" s="1497"/>
      <c r="Q435" s="2"/>
    </row>
    <row r="436" spans="1:17" ht="15.75">
      <c r="A436" s="2"/>
      <c r="B436" s="2"/>
      <c r="C436" s="2"/>
      <c r="D436" s="2"/>
      <c r="E436" s="2"/>
      <c r="F436" s="2"/>
      <c r="G436" s="2"/>
      <c r="H436" s="2"/>
      <c r="I436" s="2"/>
      <c r="J436" s="2"/>
      <c r="K436" s="2"/>
      <c r="L436" s="2"/>
      <c r="M436" s="2"/>
      <c r="N436" s="2"/>
      <c r="O436" s="2"/>
      <c r="P436" s="1497"/>
      <c r="Q436" s="2"/>
    </row>
    <row r="437" spans="1:17" ht="15.75">
      <c r="A437" s="2"/>
      <c r="B437" s="2"/>
      <c r="C437" s="2"/>
      <c r="D437" s="2"/>
      <c r="E437" s="2"/>
      <c r="F437" s="2"/>
      <c r="G437" s="2"/>
      <c r="H437" s="2"/>
      <c r="I437" s="2"/>
      <c r="J437" s="2"/>
      <c r="K437" s="2"/>
      <c r="L437" s="2"/>
      <c r="M437" s="2"/>
      <c r="N437" s="2"/>
      <c r="O437" s="2"/>
      <c r="P437" s="1497"/>
      <c r="Q437" s="2"/>
    </row>
    <row r="438" spans="1:17" ht="15.75">
      <c r="A438" s="2"/>
      <c r="B438" s="2"/>
      <c r="C438" s="2"/>
      <c r="D438" s="2"/>
      <c r="E438" s="2"/>
      <c r="F438" s="2"/>
      <c r="G438" s="2"/>
      <c r="H438" s="2"/>
      <c r="I438" s="2"/>
      <c r="J438" s="2"/>
      <c r="K438" s="2"/>
      <c r="L438" s="2"/>
      <c r="M438" s="2"/>
      <c r="N438" s="2"/>
      <c r="O438" s="2"/>
      <c r="P438" s="1497"/>
      <c r="Q438" s="2"/>
    </row>
    <row r="439" spans="1:17" ht="15.75">
      <c r="A439" s="2"/>
      <c r="B439" s="2"/>
      <c r="C439" s="2"/>
      <c r="D439" s="2"/>
      <c r="E439" s="2"/>
      <c r="F439" s="2"/>
      <c r="G439" s="2"/>
      <c r="H439" s="2"/>
      <c r="I439" s="2"/>
      <c r="J439" s="2"/>
      <c r="K439" s="2"/>
      <c r="L439" s="2"/>
      <c r="M439" s="2"/>
      <c r="N439" s="2"/>
      <c r="O439" s="2"/>
      <c r="P439" s="1497"/>
      <c r="Q439" s="2"/>
    </row>
  </sheetData>
  <mergeCells count="19">
    <mergeCell ref="A290:G290"/>
    <mergeCell ref="A283:G283"/>
    <mergeCell ref="A168:G168"/>
    <mergeCell ref="A176:G176"/>
    <mergeCell ref="K176:M176"/>
    <mergeCell ref="A229:G229"/>
    <mergeCell ref="K240:M240"/>
    <mergeCell ref="A244:G244"/>
    <mergeCell ref="A251:G251"/>
    <mergeCell ref="K251:M251"/>
    <mergeCell ref="A258:G258"/>
    <mergeCell ref="A265:G265"/>
    <mergeCell ref="K265:M265"/>
    <mergeCell ref="K165:M165"/>
    <mergeCell ref="A5:G5"/>
    <mergeCell ref="A73:G73"/>
    <mergeCell ref="A139:G139"/>
    <mergeCell ref="A155:G155"/>
    <mergeCell ref="K155:M155"/>
  </mergeCells>
  <pageMargins left="0.7" right="0.7" top="0.75" bottom="0.75" header="0.3" footer="0.3"/>
  <pageSetup scale="35" fitToHeight="0" orientation="landscape" r:id="rId1"/>
  <rowBreaks count="4" manualBreakCount="4">
    <brk id="69" max="16383" man="1"/>
    <brk id="135" max="16383" man="1"/>
    <brk id="225" max="16383" man="1"/>
    <brk id="29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Z164"/>
  <sheetViews>
    <sheetView topLeftCell="G15" workbookViewId="0">
      <selection activeCell="W46" sqref="W46"/>
    </sheetView>
  </sheetViews>
  <sheetFormatPr defaultRowHeight="15"/>
  <cols>
    <col min="1" max="1" width="4.140625" customWidth="1"/>
    <col min="2" max="2" width="11.28515625" customWidth="1"/>
    <col min="3" max="3" width="19.28515625" customWidth="1"/>
    <col min="4" max="4" width="16.28515625" customWidth="1"/>
    <col min="5" max="5" width="19.140625" customWidth="1"/>
    <col min="6" max="6" width="18.5703125" customWidth="1"/>
    <col min="7" max="7" width="15.28515625" customWidth="1"/>
    <col min="8" max="8" width="13.28515625" customWidth="1"/>
    <col min="9" max="9" width="15.7109375" customWidth="1"/>
    <col min="10" max="10" width="17.140625" customWidth="1"/>
    <col min="11" max="11" width="14.140625" customWidth="1"/>
    <col min="12" max="12" width="16.140625" customWidth="1"/>
    <col min="13" max="13" width="3.28515625" customWidth="1"/>
    <col min="14" max="14" width="16.85546875" bestFit="1" customWidth="1"/>
    <col min="15" max="15" width="14.140625" customWidth="1"/>
    <col min="16" max="16" width="18.7109375" customWidth="1"/>
    <col min="17" max="17" width="15.5703125" customWidth="1"/>
    <col min="18" max="18" width="18.85546875" customWidth="1"/>
    <col min="19" max="19" width="17.140625" bestFit="1" customWidth="1"/>
    <col min="20" max="20" width="3.28515625" customWidth="1"/>
    <col min="21" max="21" width="15.5703125" customWidth="1"/>
    <col min="22" max="22" width="16.5703125" customWidth="1"/>
    <col min="23" max="23" width="15.85546875" bestFit="1" customWidth="1"/>
    <col min="24" max="24" width="13.28515625" customWidth="1"/>
    <col min="25" max="25" width="14.7109375" customWidth="1"/>
    <col min="26" max="26" width="14.140625" customWidth="1"/>
  </cols>
  <sheetData>
    <row r="1" spans="1:26" ht="18">
      <c r="A1" s="759" t="s">
        <v>2</v>
      </c>
      <c r="B1" s="760"/>
      <c r="C1" s="760"/>
      <c r="D1" s="760"/>
      <c r="E1" s="760"/>
      <c r="F1" s="760"/>
      <c r="G1" s="760"/>
      <c r="H1" s="760"/>
      <c r="I1" s="760"/>
      <c r="J1" s="760"/>
      <c r="K1" s="761"/>
      <c r="L1" s="761"/>
      <c r="M1" s="761"/>
      <c r="N1" s="761"/>
      <c r="O1" s="761"/>
      <c r="P1" s="761"/>
      <c r="Q1" s="761"/>
      <c r="R1" s="761"/>
      <c r="S1" s="761"/>
      <c r="T1" s="761"/>
      <c r="U1" s="761"/>
      <c r="V1" s="761"/>
      <c r="W1" s="761"/>
      <c r="X1" s="274"/>
      <c r="Y1" s="274"/>
      <c r="Z1" s="274"/>
    </row>
    <row r="2" spans="1:26" ht="18">
      <c r="A2" s="759" t="s">
        <v>920</v>
      </c>
      <c r="B2" s="762"/>
      <c r="C2" s="762"/>
      <c r="D2" s="762"/>
      <c r="E2" s="762"/>
      <c r="F2" s="762"/>
      <c r="G2" s="762"/>
      <c r="H2" s="762"/>
      <c r="I2" s="763"/>
      <c r="J2" s="763"/>
      <c r="K2" s="761"/>
      <c r="L2" s="761"/>
      <c r="M2" s="761"/>
      <c r="N2" s="761"/>
      <c r="O2" s="761"/>
      <c r="P2" s="761"/>
      <c r="Q2" s="761"/>
      <c r="R2" s="761"/>
      <c r="S2" s="761"/>
      <c r="T2" s="761"/>
      <c r="U2" s="761"/>
      <c r="V2" s="761"/>
      <c r="W2" s="761"/>
      <c r="X2" s="274"/>
      <c r="Y2" s="274"/>
      <c r="Z2" s="274"/>
    </row>
    <row r="3" spans="1:26">
      <c r="A3" s="761"/>
      <c r="B3" s="761"/>
      <c r="C3" s="761"/>
      <c r="D3" s="761"/>
      <c r="E3" s="761"/>
      <c r="F3" s="761"/>
      <c r="G3" s="761"/>
      <c r="H3" s="761"/>
      <c r="I3" s="761"/>
      <c r="J3" s="761"/>
      <c r="K3" s="761"/>
      <c r="L3" s="761"/>
      <c r="M3" s="761"/>
      <c r="N3" s="761"/>
      <c r="O3" s="761"/>
      <c r="P3" s="761"/>
      <c r="Q3" s="761"/>
      <c r="R3" s="761"/>
      <c r="S3" s="761"/>
      <c r="T3" s="761"/>
      <c r="U3" s="761"/>
      <c r="V3" s="761"/>
      <c r="W3" s="761"/>
      <c r="X3" s="274"/>
      <c r="Y3" s="274"/>
      <c r="Z3" s="274"/>
    </row>
    <row r="4" spans="1:26" ht="16.5">
      <c r="A4" s="764"/>
      <c r="B4" s="764"/>
      <c r="C4" s="764"/>
      <c r="D4" s="274"/>
      <c r="E4" s="274"/>
      <c r="F4" s="274"/>
      <c r="G4" s="274"/>
      <c r="H4" s="274"/>
      <c r="I4" s="274"/>
      <c r="J4" s="765"/>
      <c r="K4" s="274"/>
      <c r="L4" s="274"/>
      <c r="M4" s="274"/>
      <c r="N4" s="274"/>
      <c r="O4" s="274"/>
      <c r="P4" s="274"/>
      <c r="Q4" s="274"/>
      <c r="R4" s="274"/>
      <c r="S4" s="274"/>
      <c r="T4" s="274"/>
      <c r="U4" s="274"/>
      <c r="V4" s="274"/>
      <c r="W4" s="274"/>
      <c r="X4" s="274"/>
      <c r="Y4" s="274"/>
      <c r="Z4" s="274"/>
    </row>
    <row r="5" spans="1:26">
      <c r="A5" s="764"/>
      <c r="B5" s="764"/>
      <c r="C5" s="764"/>
      <c r="D5" s="274"/>
      <c r="E5" s="766"/>
      <c r="F5" s="766"/>
      <c r="G5" s="766"/>
      <c r="H5" s="766"/>
      <c r="I5" s="766"/>
      <c r="J5" s="766"/>
      <c r="K5" s="766"/>
      <c r="L5" s="766"/>
      <c r="M5" s="766"/>
      <c r="N5" s="766"/>
      <c r="O5" s="766"/>
      <c r="P5" s="766"/>
      <c r="Q5" s="766"/>
      <c r="R5" s="766"/>
      <c r="S5" s="766"/>
      <c r="T5" s="766"/>
      <c r="U5" s="766"/>
      <c r="V5" s="766"/>
      <c r="W5" s="766"/>
      <c r="X5" s="766"/>
      <c r="Y5" s="766"/>
      <c r="Z5" s="766"/>
    </row>
    <row r="6" spans="1:26">
      <c r="A6" s="767" t="s">
        <v>921</v>
      </c>
      <c r="B6" s="768"/>
      <c r="C6" s="768"/>
      <c r="D6" s="766"/>
      <c r="E6" s="766"/>
      <c r="F6" s="766"/>
      <c r="G6" s="766"/>
      <c r="H6" s="766"/>
      <c r="I6" s="766"/>
      <c r="J6" s="766"/>
      <c r="K6" s="766"/>
      <c r="L6" s="766"/>
      <c r="M6" s="766"/>
      <c r="N6" s="766"/>
      <c r="O6" s="766"/>
      <c r="P6" s="766"/>
      <c r="Q6" s="766"/>
      <c r="R6" s="766"/>
      <c r="S6" s="766"/>
      <c r="T6" s="766"/>
      <c r="U6" s="766"/>
      <c r="V6" s="766"/>
      <c r="W6" s="766"/>
      <c r="X6" s="766"/>
      <c r="Y6" s="766"/>
      <c r="Z6" s="766"/>
    </row>
    <row r="7" spans="1:26">
      <c r="A7" s="769" t="s">
        <v>922</v>
      </c>
      <c r="B7" s="769" t="s">
        <v>923</v>
      </c>
      <c r="C7" s="769" t="s">
        <v>789</v>
      </c>
      <c r="D7" s="770" t="s">
        <v>924</v>
      </c>
      <c r="E7" s="766"/>
      <c r="F7" s="766"/>
      <c r="G7" s="766"/>
      <c r="H7" s="766"/>
      <c r="I7" s="766"/>
      <c r="J7" s="766"/>
      <c r="K7" s="766"/>
      <c r="L7" s="766"/>
      <c r="M7" s="766"/>
      <c r="N7" s="766"/>
      <c r="O7" s="766"/>
      <c r="P7" s="766"/>
      <c r="Q7" s="766"/>
      <c r="R7" s="766"/>
      <c r="S7" s="766"/>
      <c r="T7" s="766"/>
      <c r="U7" s="766"/>
      <c r="V7" s="766"/>
      <c r="W7" s="766"/>
      <c r="X7" s="766"/>
      <c r="Y7" s="766"/>
      <c r="Z7" s="766"/>
    </row>
    <row r="8" spans="1:26">
      <c r="A8" s="768">
        <v>1</v>
      </c>
      <c r="B8" s="768" t="s">
        <v>796</v>
      </c>
      <c r="C8" s="768" t="s">
        <v>925</v>
      </c>
      <c r="D8" s="771" t="s">
        <v>926</v>
      </c>
      <c r="E8" s="766"/>
      <c r="F8" s="766"/>
      <c r="G8" s="766"/>
      <c r="H8" s="766"/>
      <c r="I8" s="766"/>
      <c r="J8" s="766"/>
      <c r="K8" s="766"/>
      <c r="L8" s="766"/>
      <c r="M8" s="766"/>
      <c r="N8" s="766"/>
      <c r="O8" s="766"/>
      <c r="P8" s="766"/>
      <c r="Q8" s="766"/>
      <c r="R8" s="766"/>
      <c r="S8" s="766"/>
      <c r="T8" s="766"/>
      <c r="U8" s="766"/>
      <c r="V8" s="766"/>
      <c r="W8" s="766"/>
      <c r="X8" s="766"/>
      <c r="Y8" s="766"/>
      <c r="Z8" s="766"/>
    </row>
    <row r="9" spans="1:26">
      <c r="A9" s="768">
        <v>2</v>
      </c>
      <c r="B9" s="768" t="str">
        <f>+B8</f>
        <v>April</v>
      </c>
      <c r="C9" s="768" t="str">
        <f>+C8</f>
        <v>Year 2</v>
      </c>
      <c r="D9" s="771" t="s">
        <v>927</v>
      </c>
      <c r="E9" s="766"/>
      <c r="F9" s="766"/>
      <c r="G9" s="766"/>
      <c r="H9" s="766"/>
      <c r="I9" s="766"/>
      <c r="J9" s="766"/>
      <c r="K9" s="766"/>
      <c r="L9" s="766"/>
      <c r="M9" s="766"/>
      <c r="N9" s="766"/>
      <c r="O9" s="766"/>
      <c r="P9" s="766"/>
      <c r="Q9" s="766"/>
      <c r="R9" s="766"/>
      <c r="S9" s="766"/>
      <c r="T9" s="766"/>
      <c r="U9" s="766"/>
      <c r="V9" s="766"/>
      <c r="W9" s="766"/>
      <c r="X9" s="766"/>
      <c r="Y9" s="766"/>
      <c r="Z9" s="766"/>
    </row>
    <row r="10" spans="1:26">
      <c r="A10" s="768">
        <v>3</v>
      </c>
      <c r="B10" s="768" t="s">
        <v>796</v>
      </c>
      <c r="C10" s="768" t="str">
        <f>+C9</f>
        <v>Year 2</v>
      </c>
      <c r="D10" s="771" t="s">
        <v>928</v>
      </c>
      <c r="E10" s="766"/>
      <c r="F10" s="766"/>
      <c r="G10" s="766"/>
      <c r="H10" s="766"/>
      <c r="I10" s="766"/>
      <c r="J10" s="766"/>
      <c r="K10" s="766"/>
      <c r="L10" s="766"/>
      <c r="M10" s="766"/>
      <c r="N10" s="766"/>
      <c r="O10" s="766"/>
      <c r="P10" s="766"/>
      <c r="Q10" s="766"/>
      <c r="R10" s="766"/>
      <c r="S10" s="766"/>
      <c r="T10" s="766"/>
      <c r="U10" s="766"/>
      <c r="V10" s="766"/>
      <c r="W10" s="766"/>
      <c r="X10" s="766"/>
      <c r="Y10" s="766"/>
      <c r="Z10" s="766"/>
    </row>
    <row r="11" spans="1:26">
      <c r="A11" s="768">
        <v>4</v>
      </c>
      <c r="B11" s="768" t="s">
        <v>797</v>
      </c>
      <c r="C11" s="768" t="str">
        <f>+C10</f>
        <v>Year 2</v>
      </c>
      <c r="D11" s="771" t="s">
        <v>929</v>
      </c>
      <c r="E11" s="766"/>
      <c r="F11" s="766"/>
      <c r="G11" s="766"/>
      <c r="H11" s="766"/>
      <c r="I11" s="766"/>
      <c r="J11" s="766"/>
      <c r="K11" s="766"/>
      <c r="L11" s="766"/>
      <c r="M11" s="766"/>
      <c r="N11" s="766"/>
      <c r="O11" s="766"/>
      <c r="P11" s="766"/>
      <c r="Q11" s="766"/>
      <c r="R11" s="766"/>
      <c r="S11" s="766"/>
      <c r="T11" s="766"/>
      <c r="U11" s="766"/>
      <c r="V11" s="766"/>
      <c r="W11" s="766"/>
      <c r="X11" s="766"/>
      <c r="Y11" s="766"/>
      <c r="Z11" s="766"/>
    </row>
    <row r="12" spans="1:26">
      <c r="A12" s="768">
        <v>5</v>
      </c>
      <c r="B12" s="772" t="s">
        <v>930</v>
      </c>
      <c r="C12" s="768" t="str">
        <f>+C11</f>
        <v>Year 2</v>
      </c>
      <c r="D12" s="771" t="s">
        <v>931</v>
      </c>
      <c r="E12" s="766"/>
      <c r="F12" s="766"/>
      <c r="G12" s="766"/>
      <c r="H12" s="766"/>
      <c r="I12" s="766"/>
      <c r="J12" s="766"/>
      <c r="K12" s="766"/>
      <c r="L12" s="766"/>
      <c r="M12" s="766"/>
      <c r="N12" s="766"/>
      <c r="O12" s="766"/>
      <c r="P12" s="766"/>
      <c r="Q12" s="766"/>
      <c r="R12" s="766"/>
      <c r="S12" s="766"/>
      <c r="T12" s="766"/>
      <c r="U12" s="766"/>
      <c r="V12" s="766"/>
      <c r="W12" s="766"/>
      <c r="X12" s="766"/>
      <c r="Y12" s="766"/>
      <c r="Z12" s="766"/>
    </row>
    <row r="13" spans="1:26">
      <c r="A13" s="768"/>
      <c r="B13" s="768"/>
      <c r="C13" s="768"/>
      <c r="D13" s="771"/>
      <c r="E13" s="766"/>
      <c r="F13" s="766"/>
      <c r="G13" s="766"/>
      <c r="H13" s="766"/>
      <c r="I13" s="766"/>
      <c r="J13" s="766"/>
      <c r="K13" s="766"/>
      <c r="L13" s="766"/>
      <c r="M13" s="766"/>
      <c r="N13" s="766"/>
      <c r="O13" s="766"/>
      <c r="P13" s="766"/>
      <c r="Q13" s="766"/>
      <c r="R13" s="766"/>
      <c r="S13" s="766"/>
      <c r="T13" s="766"/>
      <c r="U13" s="766"/>
      <c r="V13" s="766"/>
      <c r="W13" s="766"/>
      <c r="X13" s="766"/>
      <c r="Y13" s="766"/>
      <c r="Z13" s="766"/>
    </row>
    <row r="14" spans="1:26">
      <c r="A14" s="768">
        <v>6</v>
      </c>
      <c r="B14" s="768" t="str">
        <f>+B8</f>
        <v>April</v>
      </c>
      <c r="C14" s="768" t="s">
        <v>932</v>
      </c>
      <c r="D14" s="771" t="s">
        <v>933</v>
      </c>
      <c r="E14" s="766"/>
      <c r="F14" s="766"/>
      <c r="G14" s="766"/>
      <c r="H14" s="766"/>
      <c r="I14" s="766"/>
      <c r="J14" s="766"/>
      <c r="K14" s="766"/>
      <c r="L14" s="766"/>
      <c r="M14" s="766"/>
      <c r="N14" s="766"/>
      <c r="O14" s="766"/>
      <c r="P14" s="766"/>
      <c r="Q14" s="766"/>
      <c r="R14" s="766"/>
      <c r="S14" s="766"/>
      <c r="T14" s="766"/>
      <c r="U14" s="766"/>
      <c r="V14" s="766"/>
      <c r="W14" s="766"/>
      <c r="X14" s="766"/>
      <c r="Y14" s="766"/>
      <c r="Z14" s="766"/>
    </row>
    <row r="15" spans="1:26">
      <c r="A15" s="768">
        <v>7</v>
      </c>
      <c r="B15" s="768" t="str">
        <f>+B17</f>
        <v>April</v>
      </c>
      <c r="C15" s="768" t="str">
        <f>+C17</f>
        <v>Year 3</v>
      </c>
      <c r="D15" s="771" t="s">
        <v>934</v>
      </c>
      <c r="E15" s="274"/>
      <c r="F15" s="274"/>
      <c r="G15" s="274"/>
      <c r="H15" s="274"/>
      <c r="I15" s="274"/>
      <c r="J15" s="274"/>
      <c r="K15" s="766"/>
      <c r="L15" s="766"/>
      <c r="M15" s="766"/>
      <c r="N15" s="766"/>
      <c r="O15" s="766"/>
      <c r="P15" s="766"/>
      <c r="Q15" s="766"/>
      <c r="R15" s="766"/>
      <c r="S15" s="766"/>
      <c r="T15" s="766"/>
      <c r="U15" s="766"/>
      <c r="V15" s="766"/>
      <c r="W15" s="766"/>
      <c r="X15" s="766"/>
      <c r="Y15" s="766"/>
      <c r="Z15" s="766"/>
    </row>
    <row r="16" spans="1:26">
      <c r="A16" s="768"/>
      <c r="B16" s="768"/>
      <c r="C16" s="768"/>
      <c r="D16" s="771"/>
      <c r="E16" s="274"/>
      <c r="F16" s="274"/>
      <c r="G16" s="274"/>
      <c r="H16" s="274"/>
      <c r="I16" s="274"/>
      <c r="J16" s="274"/>
      <c r="K16" s="766"/>
      <c r="L16" s="766"/>
      <c r="M16" s="766"/>
      <c r="N16" s="766"/>
      <c r="O16" s="766"/>
      <c r="P16" s="766"/>
      <c r="Q16" s="766"/>
      <c r="R16" s="766"/>
      <c r="S16" s="766"/>
      <c r="T16" s="766"/>
      <c r="U16" s="766"/>
      <c r="V16" s="766"/>
      <c r="W16" s="766"/>
      <c r="X16" s="766"/>
      <c r="Y16" s="766"/>
      <c r="Z16" s="766"/>
    </row>
    <row r="17" spans="1:26">
      <c r="A17" s="768">
        <v>8</v>
      </c>
      <c r="B17" s="768" t="str">
        <f>+B14</f>
        <v>April</v>
      </c>
      <c r="C17" s="768" t="str">
        <f>+C14</f>
        <v>Year 3</v>
      </c>
      <c r="D17" s="771" t="s">
        <v>935</v>
      </c>
      <c r="E17" s="766"/>
      <c r="F17" s="766"/>
      <c r="G17" s="766"/>
      <c r="H17" s="766"/>
      <c r="I17" s="766"/>
      <c r="J17" s="766"/>
      <c r="K17" s="766"/>
      <c r="L17" s="766"/>
      <c r="M17" s="766"/>
      <c r="N17" s="766"/>
      <c r="O17" s="766"/>
      <c r="P17" s="766"/>
      <c r="Q17" s="766"/>
      <c r="R17" s="766"/>
      <c r="S17" s="766"/>
      <c r="T17" s="766"/>
      <c r="U17" s="766"/>
      <c r="V17" s="766"/>
      <c r="W17" s="766"/>
      <c r="X17" s="766"/>
      <c r="Y17" s="766"/>
      <c r="Z17" s="766"/>
    </row>
    <row r="18" spans="1:26">
      <c r="A18" s="768"/>
      <c r="B18" s="772"/>
      <c r="C18" s="768"/>
      <c r="D18" s="771"/>
      <c r="E18" s="766"/>
      <c r="F18" s="766"/>
      <c r="G18" s="766"/>
      <c r="H18" s="766"/>
      <c r="I18" s="766"/>
      <c r="J18" s="766"/>
      <c r="K18" s="766"/>
      <c r="L18" s="766"/>
      <c r="M18" s="766"/>
      <c r="N18" s="766"/>
      <c r="O18" s="766"/>
      <c r="P18" s="766"/>
      <c r="Q18" s="766"/>
      <c r="R18" s="766"/>
      <c r="S18" s="766"/>
      <c r="T18" s="766"/>
      <c r="U18" s="766"/>
      <c r="V18" s="766"/>
      <c r="W18" s="766"/>
      <c r="X18" s="766"/>
      <c r="Y18" s="766"/>
      <c r="Z18" s="766"/>
    </row>
    <row r="19" spans="1:26">
      <c r="A19" s="768"/>
      <c r="B19" s="772"/>
      <c r="C19" s="768"/>
      <c r="D19" s="771"/>
      <c r="E19" s="766"/>
      <c r="F19" s="766"/>
      <c r="G19" s="766"/>
      <c r="H19" s="766"/>
      <c r="I19" s="766"/>
      <c r="J19" s="766"/>
      <c r="K19" s="766"/>
      <c r="L19" s="766"/>
      <c r="M19" s="766"/>
      <c r="N19" s="766"/>
      <c r="O19" s="766"/>
      <c r="P19" s="766"/>
      <c r="Q19" s="766"/>
      <c r="R19" s="766"/>
      <c r="S19" s="766"/>
      <c r="T19" s="766"/>
      <c r="U19" s="766"/>
      <c r="V19" s="766"/>
      <c r="W19" s="766"/>
      <c r="X19" s="766"/>
      <c r="Y19" s="766"/>
      <c r="Z19" s="766"/>
    </row>
    <row r="20" spans="1:26">
      <c r="A20" s="767" t="s">
        <v>936</v>
      </c>
      <c r="B20" s="768"/>
      <c r="C20" s="768"/>
      <c r="D20" s="773"/>
      <c r="E20" s="766"/>
      <c r="F20" s="766"/>
      <c r="G20" s="766"/>
      <c r="H20" s="766"/>
      <c r="I20" s="766"/>
      <c r="J20" s="766"/>
      <c r="K20" s="766"/>
      <c r="L20" s="766"/>
      <c r="M20" s="766"/>
      <c r="N20" s="766"/>
      <c r="O20" s="766"/>
      <c r="P20" s="766"/>
      <c r="Q20" s="766"/>
      <c r="R20" s="766"/>
      <c r="S20" s="766"/>
      <c r="T20" s="766"/>
      <c r="U20" s="766"/>
      <c r="V20" s="766"/>
      <c r="W20" s="766"/>
      <c r="X20" s="766"/>
      <c r="Y20" s="766"/>
      <c r="Z20" s="766"/>
    </row>
    <row r="21" spans="1:26">
      <c r="A21" s="769" t="s">
        <v>922</v>
      </c>
      <c r="B21" s="769" t="s">
        <v>923</v>
      </c>
      <c r="C21" s="769" t="s">
        <v>789</v>
      </c>
      <c r="D21" s="770" t="s">
        <v>924</v>
      </c>
      <c r="E21" s="766"/>
      <c r="F21" s="766"/>
      <c r="G21" s="766"/>
      <c r="H21" s="766"/>
      <c r="I21" s="766"/>
      <c r="J21" s="766"/>
      <c r="K21" s="766"/>
      <c r="L21" s="766"/>
      <c r="M21" s="766"/>
      <c r="N21" s="766"/>
      <c r="O21" s="766"/>
      <c r="P21" s="766"/>
      <c r="Q21" s="766"/>
      <c r="R21" s="766"/>
      <c r="S21" s="766"/>
      <c r="T21" s="766"/>
      <c r="U21" s="766"/>
      <c r="V21" s="766"/>
      <c r="W21" s="766"/>
      <c r="X21" s="766"/>
      <c r="Y21" s="766"/>
      <c r="Z21" s="766"/>
    </row>
    <row r="22" spans="1:26">
      <c r="A22" s="768">
        <f>+A8</f>
        <v>1</v>
      </c>
      <c r="B22" s="768" t="str">
        <f>+B8</f>
        <v>April</v>
      </c>
      <c r="C22" s="768" t="str">
        <f>+C8</f>
        <v>Year 2</v>
      </c>
      <c r="D22" s="766" t="str">
        <f>+D8</f>
        <v>TO populates the formula with Year 1 data from FERC Form No. 1 data for Year 1 (e.g., 2010)</v>
      </c>
      <c r="E22" s="766"/>
      <c r="F22" s="766"/>
      <c r="G22" s="766"/>
      <c r="H22" s="766"/>
      <c r="I22" s="766"/>
      <c r="J22" s="274"/>
      <c r="K22" s="766"/>
      <c r="L22" s="766"/>
      <c r="M22" s="766"/>
      <c r="N22" s="766"/>
      <c r="O22" s="766"/>
      <c r="P22" s="766"/>
      <c r="Q22" s="766"/>
      <c r="R22" s="766"/>
      <c r="S22" s="766"/>
      <c r="T22" s="766"/>
      <c r="U22" s="766"/>
      <c r="V22" s="766"/>
      <c r="W22" s="766"/>
      <c r="X22" s="766"/>
      <c r="Y22" s="766"/>
      <c r="Z22" s="766"/>
    </row>
    <row r="23" spans="1:26">
      <c r="A23" s="768"/>
      <c r="B23" s="768"/>
      <c r="C23" s="768"/>
      <c r="D23" s="774">
        <v>0</v>
      </c>
      <c r="E23" s="766" t="s">
        <v>937</v>
      </c>
      <c r="F23" s="766"/>
      <c r="G23" s="775" t="str">
        <f>"Must run Appendix A to get this number (without inputs in lines "&amp;'Appendix A'!A39&amp;" or "&amp;'Appendix A'!A73&amp;" of Appendix A)"</f>
        <v>Must run Appendix A to get this number (without inputs in lines 16 or 34 of Appendix A)</v>
      </c>
      <c r="H23" s="766"/>
      <c r="I23" s="766"/>
      <c r="J23" s="766"/>
      <c r="K23" s="766"/>
      <c r="L23" s="766"/>
      <c r="M23" s="766"/>
      <c r="N23" s="766"/>
      <c r="O23" s="766"/>
      <c r="P23" s="766"/>
      <c r="Q23" s="766"/>
      <c r="R23" s="766"/>
      <c r="S23" s="766"/>
      <c r="T23" s="766"/>
      <c r="U23" s="766"/>
      <c r="V23" s="766"/>
      <c r="W23" s="766"/>
      <c r="X23" s="766"/>
      <c r="Y23" s="766"/>
      <c r="Z23" s="766"/>
    </row>
    <row r="24" spans="1:26">
      <c r="A24" s="768"/>
      <c r="B24" s="768"/>
      <c r="C24" s="768"/>
      <c r="D24" s="776"/>
      <c r="E24" s="766"/>
      <c r="F24" s="766"/>
      <c r="G24" s="766"/>
      <c r="H24" s="766"/>
      <c r="I24" s="766"/>
      <c r="J24" s="766"/>
      <c r="K24" s="766"/>
      <c r="L24" s="766"/>
      <c r="M24" s="766"/>
      <c r="N24" s="766"/>
      <c r="O24" s="766"/>
      <c r="P24" s="766"/>
      <c r="Q24" s="766"/>
      <c r="R24" s="766"/>
      <c r="S24" s="766"/>
      <c r="T24" s="766"/>
      <c r="U24" s="766"/>
      <c r="V24" s="766"/>
      <c r="W24" s="766"/>
      <c r="X24" s="766"/>
      <c r="Y24" s="766"/>
      <c r="Z24" s="766"/>
    </row>
    <row r="25" spans="1:26">
      <c r="A25" s="768">
        <v>2</v>
      </c>
      <c r="B25" s="768" t="str">
        <f>+B22</f>
        <v>April</v>
      </c>
      <c r="C25" s="768" t="str">
        <f>+C22</f>
        <v>Year 2</v>
      </c>
      <c r="D25" s="771" t="s">
        <v>938</v>
      </c>
      <c r="E25" s="766"/>
      <c r="F25" s="766"/>
      <c r="G25" s="766"/>
      <c r="H25" s="766"/>
      <c r="I25" s="766"/>
      <c r="J25" s="274"/>
      <c r="K25" s="766"/>
      <c r="L25" s="766"/>
      <c r="M25" s="766"/>
      <c r="N25" s="766"/>
      <c r="O25" s="766"/>
      <c r="P25" s="766"/>
      <c r="Q25" s="766"/>
      <c r="R25" s="274"/>
      <c r="S25" s="274"/>
      <c r="T25" s="274"/>
      <c r="U25" s="274"/>
      <c r="V25" s="274"/>
      <c r="W25" s="766"/>
      <c r="X25" s="766"/>
      <c r="Y25" s="766"/>
      <c r="Z25" s="766"/>
    </row>
    <row r="26" spans="1:26">
      <c r="A26" s="768"/>
      <c r="B26" s="768"/>
      <c r="C26" s="768" t="s">
        <v>35</v>
      </c>
      <c r="D26" s="777"/>
      <c r="E26" s="766"/>
      <c r="F26" s="766"/>
      <c r="G26" s="766"/>
      <c r="H26" s="766"/>
      <c r="I26" s="766"/>
      <c r="J26" s="766"/>
      <c r="K26" s="766"/>
      <c r="L26" s="766"/>
      <c r="M26" s="766"/>
      <c r="N26" s="766" t="s">
        <v>939</v>
      </c>
      <c r="O26" s="766"/>
      <c r="P26" s="766" t="str">
        <f>+C26</f>
        <v>Plant In Service</v>
      </c>
      <c r="Q26" s="766"/>
      <c r="R26" s="766"/>
      <c r="S26" s="766"/>
      <c r="T26" s="766"/>
      <c r="U26" s="766" t="str">
        <f>+N26</f>
        <v>CWIP</v>
      </c>
      <c r="V26" s="766"/>
      <c r="W26" s="766"/>
      <c r="X26" s="766"/>
      <c r="Y26" s="766"/>
      <c r="Z26" s="766"/>
    </row>
    <row r="27" spans="1:26">
      <c r="A27" s="768"/>
      <c r="B27" s="274"/>
      <c r="C27" s="778" t="s">
        <v>333</v>
      </c>
      <c r="D27" s="779" t="s">
        <v>334</v>
      </c>
      <c r="E27" s="779" t="s">
        <v>335</v>
      </c>
      <c r="F27" s="779" t="s">
        <v>336</v>
      </c>
      <c r="G27" s="779" t="s">
        <v>337</v>
      </c>
      <c r="H27" s="779" t="s">
        <v>338</v>
      </c>
      <c r="I27" s="779" t="s">
        <v>940</v>
      </c>
      <c r="J27" s="779" t="s">
        <v>941</v>
      </c>
      <c r="K27" s="779" t="s">
        <v>942</v>
      </c>
      <c r="L27" s="780" t="s">
        <v>943</v>
      </c>
      <c r="M27" s="274"/>
      <c r="N27" s="781" t="s">
        <v>944</v>
      </c>
      <c r="O27" s="768" t="s">
        <v>945</v>
      </c>
      <c r="P27" s="782" t="s">
        <v>946</v>
      </c>
      <c r="Q27" s="783" t="s">
        <v>947</v>
      </c>
      <c r="R27" s="782" t="s">
        <v>948</v>
      </c>
      <c r="S27" s="784" t="s">
        <v>949</v>
      </c>
      <c r="T27" s="768"/>
      <c r="U27" s="782" t="s">
        <v>950</v>
      </c>
      <c r="V27" s="784" t="s">
        <v>951</v>
      </c>
      <c r="W27" s="768" t="s">
        <v>952</v>
      </c>
      <c r="X27" s="274"/>
      <c r="Y27" s="766"/>
      <c r="Z27" s="766"/>
    </row>
    <row r="28" spans="1:26">
      <c r="A28" s="768"/>
      <c r="B28" s="274"/>
      <c r="C28" s="785" t="s">
        <v>953</v>
      </c>
      <c r="D28" s="768" t="s">
        <v>953</v>
      </c>
      <c r="E28" s="768" t="s">
        <v>953</v>
      </c>
      <c r="F28" s="768" t="s">
        <v>953</v>
      </c>
      <c r="G28" s="768" t="s">
        <v>953</v>
      </c>
      <c r="H28" s="768" t="s">
        <v>953</v>
      </c>
      <c r="I28" s="768" t="s">
        <v>953</v>
      </c>
      <c r="J28" s="768" t="s">
        <v>953</v>
      </c>
      <c r="K28" s="768" t="s">
        <v>953</v>
      </c>
      <c r="L28" s="786" t="s">
        <v>953</v>
      </c>
      <c r="M28" s="274"/>
      <c r="N28" s="786" t="s">
        <v>953</v>
      </c>
      <c r="O28" s="274"/>
      <c r="P28" s="787" t="str">
        <f>+C29</f>
        <v>Other Transmission PIS</v>
      </c>
      <c r="Q28" s="788" t="str">
        <f>L29</f>
        <v>Energy Gateway</v>
      </c>
      <c r="R28" s="787" t="str">
        <f>+C29</f>
        <v>Other Transmission PIS</v>
      </c>
      <c r="S28" s="789" t="str">
        <f>L29</f>
        <v>Energy Gateway</v>
      </c>
      <c r="T28" s="768"/>
      <c r="U28" s="785" t="str">
        <f>+N29</f>
        <v>Transmission CWIP</v>
      </c>
      <c r="V28" s="790" t="str">
        <f>+N29</f>
        <v>Transmission CWIP</v>
      </c>
      <c r="W28" s="768" t="s">
        <v>954</v>
      </c>
      <c r="X28" s="274"/>
      <c r="Y28" s="766"/>
      <c r="Z28" s="766"/>
    </row>
    <row r="29" spans="1:26">
      <c r="A29" s="768"/>
      <c r="B29" s="766"/>
      <c r="C29" s="787" t="s">
        <v>955</v>
      </c>
      <c r="D29" s="788"/>
      <c r="E29" s="788" t="s">
        <v>956</v>
      </c>
      <c r="F29" s="788" t="s">
        <v>956</v>
      </c>
      <c r="G29" s="788" t="s">
        <v>956</v>
      </c>
      <c r="H29" s="788" t="s">
        <v>956</v>
      </c>
      <c r="I29" s="788" t="s">
        <v>956</v>
      </c>
      <c r="J29" s="788" t="s">
        <v>956</v>
      </c>
      <c r="K29" s="788" t="s">
        <v>956</v>
      </c>
      <c r="L29" s="791" t="s">
        <v>956</v>
      </c>
      <c r="M29" s="274"/>
      <c r="N29" s="791" t="s">
        <v>957</v>
      </c>
      <c r="O29" s="768" t="s">
        <v>958</v>
      </c>
      <c r="P29" s="785" t="s">
        <v>959</v>
      </c>
      <c r="Q29" s="768" t="s">
        <v>960</v>
      </c>
      <c r="R29" s="785" t="s">
        <v>961</v>
      </c>
      <c r="S29" s="790" t="s">
        <v>962</v>
      </c>
      <c r="T29" s="768"/>
      <c r="U29" s="785" t="s">
        <v>963</v>
      </c>
      <c r="V29" s="790" t="s">
        <v>964</v>
      </c>
      <c r="W29" s="274"/>
      <c r="X29" s="274"/>
      <c r="Y29" s="766"/>
      <c r="Z29" s="766"/>
    </row>
    <row r="30" spans="1:26">
      <c r="A30" s="768"/>
      <c r="B30" s="766"/>
      <c r="C30" s="787" t="s">
        <v>965</v>
      </c>
      <c r="D30" s="788"/>
      <c r="E30" s="788" t="s">
        <v>966</v>
      </c>
      <c r="F30" s="788" t="s">
        <v>967</v>
      </c>
      <c r="G30" s="788" t="s">
        <v>968</v>
      </c>
      <c r="H30" s="788" t="s">
        <v>969</v>
      </c>
      <c r="I30" s="788" t="s">
        <v>970</v>
      </c>
      <c r="J30" s="788" t="s">
        <v>971</v>
      </c>
      <c r="K30" s="788" t="s">
        <v>972</v>
      </c>
      <c r="L30" s="791" t="s">
        <v>973</v>
      </c>
      <c r="M30" s="274"/>
      <c r="N30" s="791" t="s">
        <v>974</v>
      </c>
      <c r="O30" s="768"/>
      <c r="P30" s="787"/>
      <c r="Q30" s="788"/>
      <c r="R30" s="787"/>
      <c r="S30" s="789"/>
      <c r="T30" s="766"/>
      <c r="U30" s="787"/>
      <c r="V30" s="789"/>
      <c r="W30" s="274"/>
      <c r="X30" s="274"/>
      <c r="Y30" s="766"/>
      <c r="Z30" s="766"/>
    </row>
    <row r="31" spans="1:26" ht="27">
      <c r="A31" s="768"/>
      <c r="B31" s="792" t="s">
        <v>975</v>
      </c>
      <c r="C31" s="793">
        <v>0</v>
      </c>
      <c r="D31" s="794">
        <v>0</v>
      </c>
      <c r="E31" s="794">
        <v>0</v>
      </c>
      <c r="F31" s="794">
        <v>0</v>
      </c>
      <c r="G31" s="794">
        <v>0</v>
      </c>
      <c r="H31" s="794">
        <v>0</v>
      </c>
      <c r="I31" s="794">
        <v>0</v>
      </c>
      <c r="J31" s="794">
        <v>0</v>
      </c>
      <c r="K31" s="794">
        <v>0</v>
      </c>
      <c r="L31" s="795">
        <f t="shared" ref="L31:L43" si="0">SUM(D31:K31)</f>
        <v>0</v>
      </c>
      <c r="M31" s="274"/>
      <c r="N31" s="796">
        <v>0</v>
      </c>
      <c r="O31" s="797">
        <v>13</v>
      </c>
      <c r="P31" s="798">
        <f>+O31*C31</f>
        <v>0</v>
      </c>
      <c r="Q31" s="799">
        <f>+O31*L31</f>
        <v>0</v>
      </c>
      <c r="R31" s="800">
        <f>P31/13</f>
        <v>0</v>
      </c>
      <c r="S31" s="801">
        <f>Q31/13</f>
        <v>0</v>
      </c>
      <c r="T31" s="766"/>
      <c r="U31" s="798">
        <f>+O31*N31</f>
        <v>0</v>
      </c>
      <c r="V31" s="801">
        <f>U31/13</f>
        <v>0</v>
      </c>
      <c r="W31" s="274"/>
      <c r="X31" s="274"/>
      <c r="Y31" s="766"/>
      <c r="Z31" s="766"/>
    </row>
    <row r="32" spans="1:26">
      <c r="A32" s="768"/>
      <c r="B32" s="766" t="s">
        <v>976</v>
      </c>
      <c r="C32" s="804">
        <f>IF(Toggle=Projection,'PIS projection'!C5-SUM(D32:K32),IF(Toggle=True_up,0,"Set Toggle!"))</f>
        <v>26783248.969999991</v>
      </c>
      <c r="D32" s="802">
        <f>IF(Toggle=Projection,'PIS projection'!D25,IF(Toggle=True_up,0,"Set Toggle!"))</f>
        <v>0</v>
      </c>
      <c r="E32" s="802">
        <f>IF(Toggle=Projection,'PIS projection'!E25,IF(Toggle=True_up,0,"Set Toggle!"))</f>
        <v>118980.88999999998</v>
      </c>
      <c r="F32" s="802">
        <f>IF(Toggle=Projection,'PIS projection'!F25,IF(Toggle=True_up,0,"Set Toggle!"))</f>
        <v>-84596.799999999115</v>
      </c>
      <c r="G32" s="802">
        <f>IF(Toggle=Projection,'PIS projection'!G25,IF(Toggle=True_up,0,"Set Toggle!"))</f>
        <v>4703235.6100000069</v>
      </c>
      <c r="H32" s="802">
        <f>IF(Toggle=Projection,'PIS projection'!H25,IF(Toggle=True_up,0,"Set Toggle!"))</f>
        <v>0</v>
      </c>
      <c r="I32" s="802">
        <f>IF(Toggle=Projection,'PIS projection'!I25,IF(Toggle=True_up,0,"Set Toggle!"))</f>
        <v>47598479.840000004</v>
      </c>
      <c r="J32" s="802">
        <f>IF(Toggle=Projection,'PIS projection'!J25,IF(Toggle=True_up,0,"Set Toggle!"))</f>
        <v>0</v>
      </c>
      <c r="K32" s="802">
        <f>IF(Toggle=Projection,'PIS projection'!K25,IF(Toggle=True_up,0,"Set Toggle!"))</f>
        <v>0</v>
      </c>
      <c r="L32" s="803">
        <f>SUM(D32:K32)</f>
        <v>52336099.540000014</v>
      </c>
      <c r="M32" s="274"/>
      <c r="N32" s="795">
        <v>0</v>
      </c>
      <c r="O32" s="797">
        <v>12</v>
      </c>
      <c r="P32" s="798">
        <f>+O32*C32</f>
        <v>321398987.63999987</v>
      </c>
      <c r="Q32" s="799">
        <f>+O32*L32</f>
        <v>628033194.48000014</v>
      </c>
      <c r="R32" s="800">
        <f>P32/13</f>
        <v>24722999.049230758</v>
      </c>
      <c r="S32" s="801">
        <f>Q32/13</f>
        <v>48310245.729230776</v>
      </c>
      <c r="T32" s="766"/>
      <c r="U32" s="798">
        <f t="shared" ref="U32:U43" si="1">+O32*N32</f>
        <v>0</v>
      </c>
      <c r="V32" s="801">
        <f t="shared" ref="V32:V43" si="2">U32/13</f>
        <v>0</v>
      </c>
      <c r="W32" s="274"/>
      <c r="X32" s="274"/>
      <c r="Y32" s="766"/>
      <c r="Z32" s="766"/>
    </row>
    <row r="33" spans="1:26">
      <c r="A33" s="768"/>
      <c r="B33" s="766" t="s">
        <v>977</v>
      </c>
      <c r="C33" s="804">
        <f>IF(Toggle=Projection,'PIS projection'!C6-SUM(D33:K33),IF(Toggle=True_up,0,"Set Toggle!"))</f>
        <v>5383709.9200000018</v>
      </c>
      <c r="D33" s="802">
        <f>IF(Toggle=Projection,'PIS projection'!D26,IF(Toggle=True_up,0,"Set Toggle!"))</f>
        <v>0</v>
      </c>
      <c r="E33" s="802">
        <f>IF(Toggle=Projection,'PIS projection'!E26,IF(Toggle=True_up,0,"Set Toggle!"))</f>
        <v>207845.52</v>
      </c>
      <c r="F33" s="802">
        <f>IF(Toggle=Projection,'PIS projection'!F26,IF(Toggle=True_up,0,"Set Toggle!"))</f>
        <v>-149334.53000000602</v>
      </c>
      <c r="G33" s="802">
        <f>IF(Toggle=Projection,'PIS projection'!G26,IF(Toggle=True_up,0,"Set Toggle!"))</f>
        <v>745477.74999999255</v>
      </c>
      <c r="H33" s="802">
        <f>IF(Toggle=Projection,'PIS projection'!H26,IF(Toggle=True_up,0,"Set Toggle!"))</f>
        <v>0</v>
      </c>
      <c r="I33" s="802">
        <f>IF(Toggle=Projection,'PIS projection'!I26,IF(Toggle=True_up,0,"Set Toggle!"))</f>
        <v>133158.86000000802</v>
      </c>
      <c r="J33" s="802">
        <f>IF(Toggle=Projection,'PIS projection'!J26,IF(Toggle=True_up,0,"Set Toggle!"))</f>
        <v>0</v>
      </c>
      <c r="K33" s="802">
        <f>IF(Toggle=Projection,'PIS projection'!K26,IF(Toggle=True_up,0,"Set Toggle!"))</f>
        <v>0</v>
      </c>
      <c r="L33" s="803">
        <f t="shared" si="0"/>
        <v>937147.59999999451</v>
      </c>
      <c r="M33" s="274"/>
      <c r="N33" s="795">
        <v>0</v>
      </c>
      <c r="O33" s="797">
        <f t="shared" ref="O33:O43" si="3">+O32-1</f>
        <v>11</v>
      </c>
      <c r="P33" s="798">
        <f t="shared" ref="P33:P43" si="4">+O33*C33</f>
        <v>59220809.12000002</v>
      </c>
      <c r="Q33" s="799">
        <f t="shared" ref="Q33:Q43" si="5">+O33*L33</f>
        <v>10308623.59999994</v>
      </c>
      <c r="R33" s="805">
        <f t="shared" ref="R33:S43" si="6">P33/13</f>
        <v>4555446.8553846171</v>
      </c>
      <c r="S33" s="801">
        <f t="shared" si="6"/>
        <v>792971.04615384154</v>
      </c>
      <c r="T33" s="766"/>
      <c r="U33" s="798">
        <f t="shared" si="1"/>
        <v>0</v>
      </c>
      <c r="V33" s="801">
        <f t="shared" si="2"/>
        <v>0</v>
      </c>
      <c r="W33" s="274"/>
      <c r="X33" s="274"/>
      <c r="Y33" s="766"/>
      <c r="Z33" s="766"/>
    </row>
    <row r="34" spans="1:26">
      <c r="A34" s="768"/>
      <c r="B34" s="766" t="s">
        <v>978</v>
      </c>
      <c r="C34" s="804">
        <f>IF(Toggle=Projection,'PIS projection'!C7-SUM(D34:K34),IF(Toggle=True_up,0,"Set Toggle!"))</f>
        <v>4604966.459999999</v>
      </c>
      <c r="D34" s="802">
        <f>IF(Toggle=Projection,'PIS projection'!D27,IF(Toggle=True_up,0,"Set Toggle!"))</f>
        <v>0</v>
      </c>
      <c r="E34" s="802">
        <f>IF(Toggle=Projection,'PIS projection'!E27,IF(Toggle=True_up,0,"Set Toggle!"))</f>
        <v>118906.58</v>
      </c>
      <c r="F34" s="802">
        <f>IF(Toggle=Projection,'PIS projection'!F27,IF(Toggle=True_up,0,"Set Toggle!"))</f>
        <v>325871.11</v>
      </c>
      <c r="G34" s="802">
        <f>IF(Toggle=Projection,'PIS projection'!G27,IF(Toggle=True_up,0,"Set Toggle!"))</f>
        <v>764586.52</v>
      </c>
      <c r="H34" s="802">
        <f>IF(Toggle=Projection,'PIS projection'!H27,IF(Toggle=True_up,0,"Set Toggle!"))</f>
        <v>0</v>
      </c>
      <c r="I34" s="802">
        <f>IF(Toggle=Projection,'PIS projection'!I27,IF(Toggle=True_up,0,"Set Toggle!"))</f>
        <v>3719329.8000000003</v>
      </c>
      <c r="J34" s="802">
        <f>IF(Toggle=Projection,'PIS projection'!J27,IF(Toggle=True_up,0,"Set Toggle!"))</f>
        <v>0</v>
      </c>
      <c r="K34" s="802">
        <f>IF(Toggle=Projection,'PIS projection'!K27,IF(Toggle=True_up,0,"Set Toggle!"))</f>
        <v>0</v>
      </c>
      <c r="L34" s="803">
        <f t="shared" si="0"/>
        <v>4928694.01</v>
      </c>
      <c r="M34" s="274"/>
      <c r="N34" s="795">
        <v>0</v>
      </c>
      <c r="O34" s="797">
        <f t="shared" si="3"/>
        <v>10</v>
      </c>
      <c r="P34" s="798">
        <f t="shared" si="4"/>
        <v>46049664.599999994</v>
      </c>
      <c r="Q34" s="799">
        <f t="shared" si="5"/>
        <v>49286940.099999994</v>
      </c>
      <c r="R34" s="805">
        <f t="shared" si="6"/>
        <v>3542281.8923076917</v>
      </c>
      <c r="S34" s="801">
        <f t="shared" si="6"/>
        <v>3791303.0846153842</v>
      </c>
      <c r="T34" s="766"/>
      <c r="U34" s="798">
        <f t="shared" si="1"/>
        <v>0</v>
      </c>
      <c r="V34" s="801">
        <f t="shared" si="2"/>
        <v>0</v>
      </c>
      <c r="W34" s="274"/>
      <c r="X34" s="274"/>
      <c r="Y34" s="766"/>
      <c r="Z34" s="766"/>
    </row>
    <row r="35" spans="1:26">
      <c r="A35" s="768"/>
      <c r="B35" s="766" t="s">
        <v>979</v>
      </c>
      <c r="C35" s="804">
        <f>IF(Toggle=Projection,'PIS projection'!C8-SUM(D35:K35),IF(Toggle=True_up,0,"Set Toggle!"))</f>
        <v>15107643.30529011</v>
      </c>
      <c r="D35" s="802">
        <f>IF(Toggle=Projection,'PIS projection'!D28,IF(Toggle=True_up,0,"Set Toggle!"))</f>
        <v>0</v>
      </c>
      <c r="E35" s="802">
        <f>IF(Toggle=Projection,'PIS projection'!E28,IF(Toggle=True_up,0,"Set Toggle!"))</f>
        <v>0</v>
      </c>
      <c r="F35" s="802">
        <f>IF(Toggle=Projection,'PIS projection'!F28,IF(Toggle=True_up,0,"Set Toggle!"))</f>
        <v>0</v>
      </c>
      <c r="G35" s="802">
        <f>IF(Toggle=Projection,'PIS projection'!G28,IF(Toggle=True_up,0,"Set Toggle!"))</f>
        <v>2631704</v>
      </c>
      <c r="H35" s="802">
        <f>IF(Toggle=Projection,'PIS projection'!H28,IF(Toggle=True_up,0,"Set Toggle!"))</f>
        <v>0</v>
      </c>
      <c r="I35" s="802">
        <f>IF(Toggle=Projection,'PIS projection'!I28,IF(Toggle=True_up,0,"Set Toggle!"))</f>
        <v>9454224</v>
      </c>
      <c r="J35" s="802">
        <f>IF(Toggle=Projection,'PIS projection'!J28,IF(Toggle=True_up,0,"Set Toggle!"))</f>
        <v>0</v>
      </c>
      <c r="K35" s="802">
        <f>IF(Toggle=Projection,'PIS projection'!K28,IF(Toggle=True_up,0,"Set Toggle!"))</f>
        <v>0</v>
      </c>
      <c r="L35" s="803">
        <f t="shared" si="0"/>
        <v>12085928</v>
      </c>
      <c r="M35" s="274"/>
      <c r="N35" s="795">
        <v>0</v>
      </c>
      <c r="O35" s="797">
        <f t="shared" si="3"/>
        <v>9</v>
      </c>
      <c r="P35" s="798">
        <f t="shared" si="4"/>
        <v>135968789.74761099</v>
      </c>
      <c r="Q35" s="799">
        <f t="shared" si="5"/>
        <v>108773352</v>
      </c>
      <c r="R35" s="805">
        <f t="shared" si="6"/>
        <v>10459137.672893154</v>
      </c>
      <c r="S35" s="801">
        <f t="shared" si="6"/>
        <v>8367180.923076923</v>
      </c>
      <c r="T35" s="766"/>
      <c r="U35" s="798">
        <f t="shared" si="1"/>
        <v>0</v>
      </c>
      <c r="V35" s="801">
        <f t="shared" si="2"/>
        <v>0</v>
      </c>
      <c r="W35" s="274"/>
      <c r="X35" s="274"/>
      <c r="Y35" s="766"/>
      <c r="Z35" s="766"/>
    </row>
    <row r="36" spans="1:26">
      <c r="A36" s="768"/>
      <c r="B36" s="766" t="s">
        <v>797</v>
      </c>
      <c r="C36" s="804">
        <f>IF(Toggle=Projection,'PIS projection'!C9-SUM(D36:K36),IF(Toggle=True_up,0,"Set Toggle!"))</f>
        <v>83768056.722769588</v>
      </c>
      <c r="D36" s="802">
        <f>IF(Toggle=Projection,'PIS projection'!D29,IF(Toggle=True_up,0,"Set Toggle!"))</f>
        <v>0</v>
      </c>
      <c r="E36" s="802">
        <f>IF(Toggle=Projection,'PIS projection'!E29,IF(Toggle=True_up,0,"Set Toggle!"))</f>
        <v>0</v>
      </c>
      <c r="F36" s="802">
        <f>IF(Toggle=Projection,'PIS projection'!F29,IF(Toggle=True_up,0,"Set Toggle!"))</f>
        <v>0</v>
      </c>
      <c r="G36" s="802">
        <f>IF(Toggle=Projection,'PIS projection'!G29,IF(Toggle=True_up,0,"Set Toggle!"))</f>
        <v>172459</v>
      </c>
      <c r="H36" s="802">
        <f>IF(Toggle=Projection,'PIS projection'!H29,IF(Toggle=True_up,0,"Set Toggle!"))</f>
        <v>0</v>
      </c>
      <c r="I36" s="802">
        <f>IF(Toggle=Projection,'PIS projection'!I29,IF(Toggle=True_up,0,"Set Toggle!"))</f>
        <v>2111513</v>
      </c>
      <c r="J36" s="802">
        <f>IF(Toggle=Projection,'PIS projection'!J29,IF(Toggle=True_up,0,"Set Toggle!"))</f>
        <v>0</v>
      </c>
      <c r="K36" s="802">
        <f>IF(Toggle=Projection,'PIS projection'!K29,IF(Toggle=True_up,0,"Set Toggle!"))</f>
        <v>0</v>
      </c>
      <c r="L36" s="803">
        <f t="shared" si="0"/>
        <v>2283972</v>
      </c>
      <c r="M36" s="274"/>
      <c r="N36" s="795">
        <v>0</v>
      </c>
      <c r="O36" s="797">
        <f t="shared" si="3"/>
        <v>8</v>
      </c>
      <c r="P36" s="798">
        <f t="shared" si="4"/>
        <v>670144453.78215671</v>
      </c>
      <c r="Q36" s="799">
        <f t="shared" si="5"/>
        <v>18271776</v>
      </c>
      <c r="R36" s="805">
        <f t="shared" si="6"/>
        <v>51549573.367858209</v>
      </c>
      <c r="S36" s="801">
        <f t="shared" si="6"/>
        <v>1405521.2307692308</v>
      </c>
      <c r="T36" s="766"/>
      <c r="U36" s="798">
        <f t="shared" si="1"/>
        <v>0</v>
      </c>
      <c r="V36" s="801">
        <f t="shared" si="2"/>
        <v>0</v>
      </c>
      <c r="W36" s="274"/>
      <c r="X36" s="274"/>
      <c r="Y36" s="766"/>
      <c r="Z36" s="766"/>
    </row>
    <row r="37" spans="1:26">
      <c r="A37" s="768"/>
      <c r="B37" s="766" t="s">
        <v>980</v>
      </c>
      <c r="C37" s="804">
        <f>IF(Toggle=Projection,'PIS projection'!C10-SUM(D37:K37),IF(Toggle=True_up,0,"Set Toggle!"))</f>
        <v>36524088.864013769</v>
      </c>
      <c r="D37" s="802">
        <f>IF(Toggle=Projection,'PIS projection'!D30,IF(Toggle=True_up,0,"Set Toggle!"))</f>
        <v>0</v>
      </c>
      <c r="E37" s="802">
        <f>IF(Toggle=Projection,'PIS projection'!E30,IF(Toggle=True_up,0,"Set Toggle!"))</f>
        <v>0</v>
      </c>
      <c r="F37" s="802">
        <f>IF(Toggle=Projection,'PIS projection'!F30,IF(Toggle=True_up,0,"Set Toggle!"))</f>
        <v>11575730</v>
      </c>
      <c r="G37" s="802">
        <f>IF(Toggle=Projection,'PIS projection'!G30,IF(Toggle=True_up,0,"Set Toggle!"))</f>
        <v>419271</v>
      </c>
      <c r="H37" s="802">
        <f>IF(Toggle=Projection,'PIS projection'!H30,IF(Toggle=True_up,0,"Set Toggle!"))</f>
        <v>0</v>
      </c>
      <c r="I37" s="802">
        <f>IF(Toggle=Projection,'PIS projection'!I30,IF(Toggle=True_up,0,"Set Toggle!"))</f>
        <v>5547873</v>
      </c>
      <c r="J37" s="802">
        <f>IF(Toggle=Projection,'PIS projection'!J30,IF(Toggle=True_up,0,"Set Toggle!"))</f>
        <v>0</v>
      </c>
      <c r="K37" s="802">
        <f>IF(Toggle=Projection,'PIS projection'!K30,IF(Toggle=True_up,0,"Set Toggle!"))</f>
        <v>0</v>
      </c>
      <c r="L37" s="803">
        <f t="shared" si="0"/>
        <v>17542874</v>
      </c>
      <c r="M37" s="274"/>
      <c r="N37" s="795">
        <v>0</v>
      </c>
      <c r="O37" s="797">
        <f t="shared" si="3"/>
        <v>7</v>
      </c>
      <c r="P37" s="798">
        <f t="shared" si="4"/>
        <v>255668622.04809639</v>
      </c>
      <c r="Q37" s="799">
        <f t="shared" si="5"/>
        <v>122800118</v>
      </c>
      <c r="R37" s="805">
        <f t="shared" si="6"/>
        <v>19666817.0806228</v>
      </c>
      <c r="S37" s="801">
        <f t="shared" si="6"/>
        <v>9446162.9230769239</v>
      </c>
      <c r="T37" s="766"/>
      <c r="U37" s="798">
        <f t="shared" si="1"/>
        <v>0</v>
      </c>
      <c r="V37" s="801">
        <f t="shared" si="2"/>
        <v>0</v>
      </c>
      <c r="W37" s="274"/>
      <c r="X37" s="274"/>
      <c r="Y37" s="766"/>
      <c r="Z37" s="766"/>
    </row>
    <row r="38" spans="1:26">
      <c r="A38" s="768"/>
      <c r="B38" s="766" t="s">
        <v>981</v>
      </c>
      <c r="C38" s="804">
        <f>IF(Toggle=Projection,'PIS projection'!C11-SUM(D38:K38),IF(Toggle=True_up,0,"Set Toggle!"))</f>
        <v>54814200.907686941</v>
      </c>
      <c r="D38" s="802">
        <f>IF(Toggle=Projection,'PIS projection'!D31,IF(Toggle=True_up,0,"Set Toggle!"))</f>
        <v>0</v>
      </c>
      <c r="E38" s="802">
        <f>IF(Toggle=Projection,'PIS projection'!E31,IF(Toggle=True_up,0,"Set Toggle!"))</f>
        <v>0</v>
      </c>
      <c r="F38" s="802">
        <f>IF(Toggle=Projection,'PIS projection'!F31,IF(Toggle=True_up,0,"Set Toggle!"))</f>
        <v>0</v>
      </c>
      <c r="G38" s="802">
        <f>IF(Toggle=Projection,'PIS projection'!G31,IF(Toggle=True_up,0,"Set Toggle!"))</f>
        <v>1036887</v>
      </c>
      <c r="H38" s="802">
        <f>IF(Toggle=Projection,'PIS projection'!H31,IF(Toggle=True_up,0,"Set Toggle!"))</f>
        <v>0</v>
      </c>
      <c r="I38" s="802">
        <f>IF(Toggle=Projection,'PIS projection'!I31,IF(Toggle=True_up,0,"Set Toggle!"))</f>
        <v>3173294</v>
      </c>
      <c r="J38" s="802">
        <f>IF(Toggle=Projection,'PIS projection'!J31,IF(Toggle=True_up,0,"Set Toggle!"))</f>
        <v>0</v>
      </c>
      <c r="K38" s="802">
        <f>IF(Toggle=Projection,'PIS projection'!K31,IF(Toggle=True_up,0,"Set Toggle!"))</f>
        <v>0</v>
      </c>
      <c r="L38" s="803">
        <f t="shared" si="0"/>
        <v>4210181</v>
      </c>
      <c r="M38" s="274"/>
      <c r="N38" s="795">
        <v>0</v>
      </c>
      <c r="O38" s="797">
        <f t="shared" si="3"/>
        <v>6</v>
      </c>
      <c r="P38" s="798">
        <f t="shared" si="4"/>
        <v>328885205.44612163</v>
      </c>
      <c r="Q38" s="799">
        <f t="shared" si="5"/>
        <v>25261086</v>
      </c>
      <c r="R38" s="805">
        <f t="shared" si="6"/>
        <v>25298861.95739397</v>
      </c>
      <c r="S38" s="801">
        <f t="shared" si="6"/>
        <v>1943160.4615384615</v>
      </c>
      <c r="T38" s="766"/>
      <c r="U38" s="798">
        <f t="shared" si="1"/>
        <v>0</v>
      </c>
      <c r="V38" s="801">
        <f t="shared" si="2"/>
        <v>0</v>
      </c>
      <c r="W38" s="274"/>
      <c r="X38" s="274"/>
      <c r="Y38" s="766"/>
      <c r="Z38" s="766"/>
    </row>
    <row r="39" spans="1:26">
      <c r="A39" s="768"/>
      <c r="B39" s="766" t="s">
        <v>982</v>
      </c>
      <c r="C39" s="804">
        <f>IF(Toggle=Projection,'PIS projection'!C12-SUM(D39:K39),IF(Toggle=True_up,0,"Set Toggle!"))</f>
        <v>12403117.464075252</v>
      </c>
      <c r="D39" s="802">
        <f>IF(Toggle=Projection,'PIS projection'!D32,IF(Toggle=True_up,0,"Set Toggle!"))</f>
        <v>0</v>
      </c>
      <c r="E39" s="802">
        <f>IF(Toggle=Projection,'PIS projection'!E32,IF(Toggle=True_up,0,"Set Toggle!"))</f>
        <v>0</v>
      </c>
      <c r="F39" s="802">
        <f>IF(Toggle=Projection,'PIS projection'!F32,IF(Toggle=True_up,0,"Set Toggle!"))</f>
        <v>0</v>
      </c>
      <c r="G39" s="802">
        <f>IF(Toggle=Projection,'PIS projection'!G32,IF(Toggle=True_up,0,"Set Toggle!"))</f>
        <v>3248265</v>
      </c>
      <c r="H39" s="802">
        <f>IF(Toggle=Projection,'PIS projection'!H32,IF(Toggle=True_up,0,"Set Toggle!"))</f>
        <v>0</v>
      </c>
      <c r="I39" s="802">
        <f>IF(Toggle=Projection,'PIS projection'!I32,IF(Toggle=True_up,0,"Set Toggle!"))</f>
        <v>43099182</v>
      </c>
      <c r="J39" s="802">
        <f>IF(Toggle=Projection,'PIS projection'!J32,IF(Toggle=True_up,0,"Set Toggle!"))</f>
        <v>0</v>
      </c>
      <c r="K39" s="802">
        <f>IF(Toggle=Projection,'PIS projection'!K32,IF(Toggle=True_up,0,"Set Toggle!"))</f>
        <v>0</v>
      </c>
      <c r="L39" s="803">
        <f t="shared" si="0"/>
        <v>46347447</v>
      </c>
      <c r="M39" s="274"/>
      <c r="N39" s="795">
        <v>0</v>
      </c>
      <c r="O39" s="797">
        <f t="shared" si="3"/>
        <v>5</v>
      </c>
      <c r="P39" s="798">
        <f t="shared" si="4"/>
        <v>62015587.320376262</v>
      </c>
      <c r="Q39" s="799">
        <f t="shared" si="5"/>
        <v>231737235</v>
      </c>
      <c r="R39" s="805">
        <f t="shared" si="6"/>
        <v>4770429.7938750973</v>
      </c>
      <c r="S39" s="801">
        <f t="shared" si="6"/>
        <v>17825941.153846152</v>
      </c>
      <c r="T39" s="766"/>
      <c r="U39" s="798">
        <f t="shared" si="1"/>
        <v>0</v>
      </c>
      <c r="V39" s="801">
        <f t="shared" si="2"/>
        <v>0</v>
      </c>
      <c r="W39" s="274"/>
      <c r="X39" s="274"/>
      <c r="Y39" s="766"/>
      <c r="Z39" s="766"/>
    </row>
    <row r="40" spans="1:26">
      <c r="A40" s="768"/>
      <c r="B40" s="766" t="s">
        <v>983</v>
      </c>
      <c r="C40" s="804">
        <f>IF(Toggle=Projection,'PIS projection'!C13-SUM(D40:K40),IF(Toggle=True_up,0,"Set Toggle!"))</f>
        <v>64529233.309702478</v>
      </c>
      <c r="D40" s="802">
        <f>IF(Toggle=Projection,'PIS projection'!D33,IF(Toggle=True_up,0,"Set Toggle!"))</f>
        <v>0</v>
      </c>
      <c r="E40" s="802">
        <f>IF(Toggle=Projection,'PIS projection'!E33,IF(Toggle=True_up,0,"Set Toggle!"))</f>
        <v>0</v>
      </c>
      <c r="F40" s="802">
        <f>IF(Toggle=Projection,'PIS projection'!F33,IF(Toggle=True_up,0,"Set Toggle!"))</f>
        <v>0</v>
      </c>
      <c r="G40" s="802">
        <f>IF(Toggle=Projection,'PIS projection'!G33,IF(Toggle=True_up,0,"Set Toggle!"))</f>
        <v>2026442</v>
      </c>
      <c r="H40" s="802">
        <f>IF(Toggle=Projection,'PIS projection'!H33,IF(Toggle=True_up,0,"Set Toggle!"))</f>
        <v>0</v>
      </c>
      <c r="I40" s="802">
        <f>IF(Toggle=Projection,'PIS projection'!I33,IF(Toggle=True_up,0,"Set Toggle!"))</f>
        <v>333921</v>
      </c>
      <c r="J40" s="802">
        <f>IF(Toggle=Projection,'PIS projection'!J33,IF(Toggle=True_up,0,"Set Toggle!"))</f>
        <v>0</v>
      </c>
      <c r="K40" s="802">
        <f>IF(Toggle=Projection,'PIS projection'!K33,IF(Toggle=True_up,0,"Set Toggle!"))</f>
        <v>0</v>
      </c>
      <c r="L40" s="803">
        <f t="shared" si="0"/>
        <v>2360363</v>
      </c>
      <c r="M40" s="274"/>
      <c r="N40" s="795">
        <v>0</v>
      </c>
      <c r="O40" s="797">
        <f t="shared" si="3"/>
        <v>4</v>
      </c>
      <c r="P40" s="798">
        <f t="shared" si="4"/>
        <v>258116933.23880991</v>
      </c>
      <c r="Q40" s="799">
        <f t="shared" si="5"/>
        <v>9441452</v>
      </c>
      <c r="R40" s="805">
        <f t="shared" si="6"/>
        <v>19855148.710677687</v>
      </c>
      <c r="S40" s="801">
        <f t="shared" si="6"/>
        <v>726265.5384615385</v>
      </c>
      <c r="T40" s="766"/>
      <c r="U40" s="798">
        <f t="shared" si="1"/>
        <v>0</v>
      </c>
      <c r="V40" s="801">
        <f t="shared" si="2"/>
        <v>0</v>
      </c>
      <c r="W40" s="274"/>
      <c r="X40" s="274"/>
      <c r="Y40" s="766"/>
      <c r="Z40" s="766"/>
    </row>
    <row r="41" spans="1:26">
      <c r="A41" s="768"/>
      <c r="B41" s="766" t="s">
        <v>984</v>
      </c>
      <c r="C41" s="804">
        <f>IF(Toggle=Projection,'PIS projection'!C14-SUM(D41:K41),IF(Toggle=True_up,0,"Set Toggle!"))</f>
        <v>52050796.072338067</v>
      </c>
      <c r="D41" s="802">
        <f>IF(Toggle=Projection,'PIS projection'!D34,IF(Toggle=True_up,0,"Set Toggle!"))</f>
        <v>0</v>
      </c>
      <c r="E41" s="802">
        <f>IF(Toggle=Projection,'PIS projection'!E34,IF(Toggle=True_up,0,"Set Toggle!"))</f>
        <v>0</v>
      </c>
      <c r="F41" s="802">
        <f>IF(Toggle=Projection,'PIS projection'!F34,IF(Toggle=True_up,0,"Set Toggle!"))</f>
        <v>0</v>
      </c>
      <c r="G41" s="802">
        <f>IF(Toggle=Projection,'PIS projection'!G34,IF(Toggle=True_up,0,"Set Toggle!"))</f>
        <v>1416467</v>
      </c>
      <c r="H41" s="802">
        <f>IF(Toggle=Projection,'PIS projection'!H34,IF(Toggle=True_up,0,"Set Toggle!"))</f>
        <v>0</v>
      </c>
      <c r="I41" s="802">
        <f>IF(Toggle=Projection,'PIS projection'!I34,IF(Toggle=True_up,0,"Set Toggle!"))</f>
        <v>10525972</v>
      </c>
      <c r="J41" s="802">
        <f>IF(Toggle=Projection,'PIS projection'!J34,IF(Toggle=True_up,0,"Set Toggle!"))</f>
        <v>0</v>
      </c>
      <c r="K41" s="802">
        <f>IF(Toggle=Projection,'PIS projection'!K34,IF(Toggle=True_up,0,"Set Toggle!"))</f>
        <v>0</v>
      </c>
      <c r="L41" s="803">
        <f t="shared" si="0"/>
        <v>11942439</v>
      </c>
      <c r="M41" s="274"/>
      <c r="N41" s="795">
        <v>0</v>
      </c>
      <c r="O41" s="797">
        <f t="shared" si="3"/>
        <v>3</v>
      </c>
      <c r="P41" s="798">
        <f t="shared" si="4"/>
        <v>156152388.21701419</v>
      </c>
      <c r="Q41" s="799">
        <f t="shared" si="5"/>
        <v>35827317</v>
      </c>
      <c r="R41" s="805">
        <f t="shared" si="6"/>
        <v>12011722.170539554</v>
      </c>
      <c r="S41" s="801">
        <f t="shared" si="6"/>
        <v>2755947.4615384615</v>
      </c>
      <c r="T41" s="766"/>
      <c r="U41" s="798">
        <f t="shared" si="1"/>
        <v>0</v>
      </c>
      <c r="V41" s="801">
        <f t="shared" si="2"/>
        <v>0</v>
      </c>
      <c r="W41" s="274"/>
      <c r="X41" s="274"/>
      <c r="Y41" s="766"/>
      <c r="Z41" s="766"/>
    </row>
    <row r="42" spans="1:26">
      <c r="A42" s="768"/>
      <c r="B42" s="766" t="s">
        <v>985</v>
      </c>
      <c r="C42" s="804">
        <f>IF(Toggle=Projection,'PIS projection'!C15-SUM(D42:K42),IF(Toggle=True_up,0,"Set Toggle!"))</f>
        <v>51542111.620486915</v>
      </c>
      <c r="D42" s="802">
        <f>IF(Toggle=Projection,'PIS projection'!D35,IF(Toggle=True_up,0,"Set Toggle!"))</f>
        <v>0</v>
      </c>
      <c r="E42" s="802">
        <f>IF(Toggle=Projection,'PIS projection'!E35,IF(Toggle=True_up,0,"Set Toggle!"))</f>
        <v>515000</v>
      </c>
      <c r="F42" s="802">
        <f>IF(Toggle=Projection,'PIS projection'!F35,IF(Toggle=True_up,0,"Set Toggle!"))</f>
        <v>0</v>
      </c>
      <c r="G42" s="802">
        <f>IF(Toggle=Projection,'PIS projection'!G35,IF(Toggle=True_up,0,"Set Toggle!"))</f>
        <v>87823</v>
      </c>
      <c r="H42" s="802">
        <f>IF(Toggle=Projection,'PIS projection'!H35,IF(Toggle=True_up,0,"Set Toggle!"))</f>
        <v>0</v>
      </c>
      <c r="I42" s="802">
        <f>IF(Toggle=Projection,'PIS projection'!I35,IF(Toggle=True_up,0,"Set Toggle!"))</f>
        <v>390533</v>
      </c>
      <c r="J42" s="802">
        <f>IF(Toggle=Projection,'PIS projection'!J35,IF(Toggle=True_up,0,"Set Toggle!"))</f>
        <v>0</v>
      </c>
      <c r="K42" s="802">
        <f>IF(Toggle=Projection,'PIS projection'!K35,IF(Toggle=True_up,0,"Set Toggle!"))</f>
        <v>0</v>
      </c>
      <c r="L42" s="803">
        <f t="shared" si="0"/>
        <v>993356</v>
      </c>
      <c r="M42" s="274"/>
      <c r="N42" s="795">
        <v>0</v>
      </c>
      <c r="O42" s="797">
        <f t="shared" si="3"/>
        <v>2</v>
      </c>
      <c r="P42" s="798">
        <f t="shared" si="4"/>
        <v>103084223.24097383</v>
      </c>
      <c r="Q42" s="799">
        <f t="shared" si="5"/>
        <v>1986712</v>
      </c>
      <c r="R42" s="805">
        <f t="shared" si="6"/>
        <v>7929555.6339210635</v>
      </c>
      <c r="S42" s="801">
        <f t="shared" si="6"/>
        <v>152824</v>
      </c>
      <c r="T42" s="766"/>
      <c r="U42" s="798">
        <f t="shared" si="1"/>
        <v>0</v>
      </c>
      <c r="V42" s="801">
        <f t="shared" si="2"/>
        <v>0</v>
      </c>
      <c r="W42" s="274"/>
      <c r="X42" s="274"/>
      <c r="Y42" s="766"/>
      <c r="Z42" s="766"/>
    </row>
    <row r="43" spans="1:26">
      <c r="A43" s="768"/>
      <c r="B43" s="766" t="s">
        <v>986</v>
      </c>
      <c r="C43" s="806">
        <f>IF(Toggle=Projection,'PIS projection'!C16-SUM(D43:K43),IF(Toggle=True_up,0,"Set Toggle!"))</f>
        <v>60150300.054503404</v>
      </c>
      <c r="D43" s="807">
        <f>IF(Toggle=Projection,'PIS projection'!D36,IF(Toggle=True_up,0,"Set Toggle!"))</f>
        <v>0</v>
      </c>
      <c r="E43" s="807">
        <f>IF(Toggle=Projection,'PIS projection'!E36,IF(Toggle=True_up,0,"Set Toggle!"))</f>
        <v>0</v>
      </c>
      <c r="F43" s="807">
        <f>IF(Toggle=Projection,'PIS projection'!F36,IF(Toggle=True_up,0,"Set Toggle!"))</f>
        <v>0</v>
      </c>
      <c r="G43" s="807">
        <f>IF(Toggle=Projection,'PIS projection'!G36,IF(Toggle=True_up,0,"Set Toggle!"))</f>
        <v>57415</v>
      </c>
      <c r="H43" s="807">
        <f>IF(Toggle=Projection,'PIS projection'!H36,IF(Toggle=True_up,0,"Set Toggle!"))</f>
        <v>0</v>
      </c>
      <c r="I43" s="807">
        <f>IF(Toggle=Projection,'PIS projection'!I36,IF(Toggle=True_up,0,"Set Toggle!"))</f>
        <v>438036</v>
      </c>
      <c r="J43" s="807">
        <f>IF(Toggle=Projection,'PIS projection'!J36,IF(Toggle=True_up,0,"Set Toggle!"))</f>
        <v>0</v>
      </c>
      <c r="K43" s="807">
        <f>IF(Toggle=Projection,'PIS projection'!K36,IF(Toggle=True_up,0,"Set Toggle!"))</f>
        <v>0</v>
      </c>
      <c r="L43" s="808">
        <f t="shared" si="0"/>
        <v>495451</v>
      </c>
      <c r="M43" s="274"/>
      <c r="N43" s="795">
        <v>0</v>
      </c>
      <c r="O43" s="797">
        <f t="shared" si="3"/>
        <v>1</v>
      </c>
      <c r="P43" s="798">
        <f t="shared" si="4"/>
        <v>60150300.054503404</v>
      </c>
      <c r="Q43" s="799">
        <f t="shared" si="5"/>
        <v>495451</v>
      </c>
      <c r="R43" s="809">
        <f t="shared" si="6"/>
        <v>4626946.1580387233</v>
      </c>
      <c r="S43" s="810">
        <f t="shared" si="6"/>
        <v>38111.615384615383</v>
      </c>
      <c r="T43" s="766"/>
      <c r="U43" s="798">
        <f t="shared" si="1"/>
        <v>0</v>
      </c>
      <c r="V43" s="801">
        <f t="shared" si="2"/>
        <v>0</v>
      </c>
      <c r="W43" s="274"/>
      <c r="X43" s="274"/>
      <c r="Y43" s="766"/>
      <c r="Z43" s="766"/>
    </row>
    <row r="44" spans="1:26">
      <c r="A44" s="768"/>
      <c r="B44" s="766" t="s">
        <v>111</v>
      </c>
      <c r="C44" s="799">
        <f>SUM(C31:C43)</f>
        <v>467661473.67086643</v>
      </c>
      <c r="D44" s="799">
        <f t="shared" ref="D44:K44" si="7">SUM(D31:D43)</f>
        <v>0</v>
      </c>
      <c r="E44" s="799">
        <f>SUM(E31:E43)</f>
        <v>960732.99</v>
      </c>
      <c r="F44" s="799">
        <f>SUM(F31:F43)</f>
        <v>11667669.779999996</v>
      </c>
      <c r="G44" s="799">
        <f t="shared" si="7"/>
        <v>17310032.879999999</v>
      </c>
      <c r="H44" s="799">
        <f t="shared" si="7"/>
        <v>0</v>
      </c>
      <c r="I44" s="799">
        <f t="shared" si="7"/>
        <v>126525516.5</v>
      </c>
      <c r="J44" s="799">
        <f t="shared" si="7"/>
        <v>0</v>
      </c>
      <c r="K44" s="799">
        <f t="shared" si="7"/>
        <v>0</v>
      </c>
      <c r="L44" s="799">
        <f>SUM(L31:L43)</f>
        <v>156463952.15000001</v>
      </c>
      <c r="M44" s="274"/>
      <c r="N44" s="811">
        <f>SUM(N31:N43)</f>
        <v>0</v>
      </c>
      <c r="O44" s="766"/>
      <c r="P44" s="811">
        <f>SUM(P31:P43)</f>
        <v>2456855964.4556632</v>
      </c>
      <c r="Q44" s="811">
        <f>SUM(Q31:Q43)</f>
        <v>1242223257.1800001</v>
      </c>
      <c r="R44" s="811">
        <f>SUM(R31:R43)</f>
        <v>188988920.34274334</v>
      </c>
      <c r="S44" s="812">
        <f>SUM(S32:S43)</f>
        <v>95555635.167692304</v>
      </c>
      <c r="U44" s="811">
        <f>SUM(U31:U43)</f>
        <v>0</v>
      </c>
      <c r="V44" s="812">
        <f>U44/13</f>
        <v>0</v>
      </c>
      <c r="W44" s="274"/>
      <c r="X44" s="274"/>
      <c r="Y44" s="766"/>
      <c r="Z44" s="766"/>
    </row>
    <row r="45" spans="1:26">
      <c r="A45" s="768"/>
      <c r="B45" s="766" t="s">
        <v>987</v>
      </c>
      <c r="C45" s="766"/>
      <c r="D45" s="274"/>
      <c r="E45" s="274"/>
      <c r="F45" s="274"/>
      <c r="G45" s="274"/>
      <c r="H45" s="274"/>
      <c r="I45" s="274"/>
      <c r="J45" s="766"/>
      <c r="K45" s="766"/>
      <c r="L45" s="766"/>
      <c r="M45" s="766"/>
      <c r="N45" s="766"/>
      <c r="O45" s="274"/>
      <c r="P45" s="274"/>
      <c r="Q45" s="274"/>
      <c r="R45" s="766"/>
      <c r="S45" s="766"/>
      <c r="T45" s="766"/>
      <c r="U45" s="766"/>
      <c r="V45" s="274"/>
      <c r="W45" s="274"/>
      <c r="X45" s="766"/>
      <c r="Y45" s="766"/>
      <c r="Z45" s="766"/>
    </row>
    <row r="46" spans="1:26">
      <c r="A46" s="768"/>
      <c r="B46" s="766"/>
      <c r="C46" s="766"/>
      <c r="D46" s="274"/>
      <c r="E46" s="274"/>
      <c r="F46" s="274"/>
      <c r="G46" s="274"/>
      <c r="H46" s="274"/>
      <c r="I46" s="274"/>
      <c r="J46" s="274"/>
      <c r="K46" s="274"/>
      <c r="L46" s="766"/>
      <c r="M46" s="766"/>
      <c r="N46" s="766"/>
      <c r="O46" s="766"/>
      <c r="P46" s="813" t="str">
        <f>"Input to Line "&amp;'Appendix A'!A39&amp;" of Appendix A"</f>
        <v>Input to Line 16 of Appendix A</v>
      </c>
      <c r="Q46" s="274"/>
      <c r="R46" s="799"/>
      <c r="S46" s="799"/>
      <c r="T46" s="274"/>
      <c r="U46" s="799"/>
      <c r="V46" s="274"/>
      <c r="W46" s="814">
        <f>IF(Toggle=True_up,"Not for true-up",SUM(R44:S44))</f>
        <v>284544555.51043564</v>
      </c>
      <c r="X46" s="766"/>
      <c r="Y46" s="766"/>
      <c r="Z46" s="766"/>
    </row>
    <row r="47" spans="1:26">
      <c r="A47" s="768"/>
      <c r="B47" s="766"/>
      <c r="C47" s="766"/>
      <c r="D47" s="274"/>
      <c r="E47" s="274"/>
      <c r="F47" s="274"/>
      <c r="G47" s="274"/>
      <c r="H47" s="274"/>
      <c r="I47" s="274"/>
      <c r="J47" s="766"/>
      <c r="K47" s="766"/>
      <c r="L47" s="799"/>
      <c r="M47" s="799"/>
      <c r="N47" s="766"/>
      <c r="O47" s="766"/>
      <c r="P47" s="766" t="str">
        <f>"Input to Line "&amp;'Appendix A'!$A$73&amp;" of Appendix A"</f>
        <v>Input to Line 34 of Appendix A</v>
      </c>
      <c r="Q47" s="274"/>
      <c r="R47" s="766"/>
      <c r="S47" s="766"/>
      <c r="T47" s="274"/>
      <c r="U47" s="274"/>
      <c r="W47" s="814">
        <f>IF(Toggle=True_up,"Not for true-up",SUM(V31:V43))</f>
        <v>0</v>
      </c>
      <c r="X47" s="766"/>
      <c r="Y47" s="766"/>
      <c r="Z47" s="766"/>
    </row>
    <row r="48" spans="1:26">
      <c r="A48" s="769" t="s">
        <v>922</v>
      </c>
      <c r="B48" s="769" t="s">
        <v>923</v>
      </c>
      <c r="C48" s="769" t="s">
        <v>789</v>
      </c>
      <c r="D48" s="770" t="s">
        <v>924</v>
      </c>
      <c r="E48" s="766"/>
      <c r="F48" s="274"/>
      <c r="G48" s="274"/>
      <c r="H48" s="274"/>
      <c r="I48" s="274"/>
      <c r="J48" s="274"/>
      <c r="K48" s="274"/>
      <c r="L48" s="766"/>
      <c r="M48" s="766"/>
      <c r="N48" s="766"/>
      <c r="O48" s="799"/>
      <c r="T48" s="815"/>
      <c r="U48" s="274"/>
      <c r="V48" s="274"/>
      <c r="W48" s="815"/>
      <c r="X48" s="766"/>
      <c r="Y48" s="766"/>
      <c r="Z48" s="766"/>
    </row>
    <row r="49" spans="1:26">
      <c r="A49" s="768">
        <v>3</v>
      </c>
      <c r="B49" s="768" t="str">
        <f>+B25</f>
        <v>April</v>
      </c>
      <c r="C49" s="768" t="str">
        <f>+C25</f>
        <v>Year 2</v>
      </c>
      <c r="D49" s="771" t="str">
        <f>+D10</f>
        <v>TO adds weighted Cap Adds to plant in service in Formula</v>
      </c>
      <c r="E49" s="766"/>
      <c r="F49" s="766"/>
      <c r="G49" s="766"/>
      <c r="H49" s="766"/>
      <c r="I49" s="766"/>
      <c r="J49" s="766"/>
      <c r="K49" s="766"/>
      <c r="L49" s="799"/>
      <c r="M49" s="799"/>
      <c r="N49" s="766"/>
      <c r="O49" s="766"/>
      <c r="P49" s="816" t="s">
        <v>988</v>
      </c>
      <c r="Q49" s="817"/>
      <c r="R49" s="818"/>
      <c r="S49" s="819">
        <v>65.5</v>
      </c>
      <c r="X49" s="766"/>
      <c r="Y49" s="766"/>
      <c r="Z49" s="766"/>
    </row>
    <row r="50" spans="1:26">
      <c r="A50" s="768"/>
      <c r="B50" s="768"/>
      <c r="C50" s="768"/>
      <c r="D50" s="820">
        <v>0</v>
      </c>
      <c r="E50" s="776"/>
      <c r="F50" s="799"/>
      <c r="G50" s="775" t="str">
        <f>"Must run Appendix A to get this number (with inputs in lines "&amp;'Appendix A'!A39&amp;" and "&amp;'Appendix A'!A73&amp;" of Appendix A)"</f>
        <v>Must run Appendix A to get this number (with inputs in lines 16 and 34 of Appendix A)</v>
      </c>
      <c r="H50" s="799"/>
      <c r="I50" s="766"/>
      <c r="J50" s="766"/>
      <c r="K50" s="766"/>
      <c r="L50" s="799"/>
      <c r="M50" s="799"/>
      <c r="N50" s="766"/>
      <c r="O50" s="766"/>
      <c r="P50" s="821" t="s">
        <v>989</v>
      </c>
      <c r="Q50" s="818"/>
      <c r="R50" s="818"/>
      <c r="S50" s="822"/>
      <c r="T50" s="766"/>
      <c r="U50" s="766"/>
      <c r="V50" s="766"/>
      <c r="W50" s="766"/>
      <c r="X50" s="766"/>
      <c r="Y50" s="766"/>
      <c r="Z50" s="766"/>
    </row>
    <row r="51" spans="1:26">
      <c r="A51" s="768"/>
      <c r="B51" s="768"/>
      <c r="C51" s="768"/>
      <c r="D51" s="823"/>
      <c r="E51" s="768"/>
      <c r="F51" s="799"/>
      <c r="G51" s="768"/>
      <c r="H51" s="799"/>
      <c r="I51" s="766"/>
      <c r="J51" s="766"/>
      <c r="K51" s="766"/>
      <c r="L51" s="766"/>
      <c r="M51" s="766"/>
      <c r="N51" s="766"/>
      <c r="O51" s="766"/>
      <c r="P51" s="824" t="s">
        <v>976</v>
      </c>
      <c r="Q51" s="825">
        <v>11.5</v>
      </c>
      <c r="R51" s="826"/>
      <c r="S51" s="827">
        <f t="shared" ref="S51:S62" si="8">+$L32/S$49/12*$Q51</f>
        <v>765731.73627226485</v>
      </c>
      <c r="T51" s="766"/>
      <c r="U51" s="766"/>
      <c r="V51" s="766"/>
      <c r="W51" s="766"/>
      <c r="X51" s="766"/>
      <c r="Y51" s="766"/>
      <c r="Z51" s="766"/>
    </row>
    <row r="52" spans="1:26">
      <c r="A52" s="768">
        <v>4</v>
      </c>
      <c r="B52" s="768" t="str">
        <f>+B11</f>
        <v>May</v>
      </c>
      <c r="C52" s="768" t="str">
        <f>+C49</f>
        <v>Year 2</v>
      </c>
      <c r="D52" s="766" t="str">
        <f>+D11</f>
        <v>Post results of Step 3</v>
      </c>
      <c r="E52" s="766"/>
      <c r="F52" s="766"/>
      <c r="G52" s="766"/>
      <c r="H52" s="766"/>
      <c r="I52" s="766"/>
      <c r="J52" s="766"/>
      <c r="K52" s="766"/>
      <c r="L52" s="766"/>
      <c r="M52" s="766"/>
      <c r="N52" s="766"/>
      <c r="O52" s="766"/>
      <c r="P52" s="824" t="s">
        <v>977</v>
      </c>
      <c r="Q52" s="825">
        <f>+Q51-1</f>
        <v>10.5</v>
      </c>
      <c r="R52" s="826"/>
      <c r="S52" s="827">
        <f t="shared" si="8"/>
        <v>12519.147328244202</v>
      </c>
      <c r="T52" s="766"/>
      <c r="U52" s="766"/>
      <c r="V52" s="766"/>
      <c r="W52" s="766"/>
      <c r="X52" s="766"/>
      <c r="Y52" s="766"/>
      <c r="Z52" s="766"/>
    </row>
    <row r="53" spans="1:26">
      <c r="A53" s="768"/>
      <c r="B53" s="768"/>
      <c r="C53" s="768"/>
      <c r="D53" s="774">
        <f>+D50</f>
        <v>0</v>
      </c>
      <c r="E53" s="274"/>
      <c r="F53" s="823"/>
      <c r="G53" s="775" t="str">
        <f>"Must run Appendix A to get this number (with inputs in lines "&amp;'Appendix A'!A39&amp;" and "&amp;'Appendix A'!A73&amp;" of Appendix A)"</f>
        <v>Must run Appendix A to get this number (with inputs in lines 16 and 34 of Appendix A)</v>
      </c>
      <c r="H53" s="766"/>
      <c r="I53" s="766"/>
      <c r="J53" s="766"/>
      <c r="K53" s="766"/>
      <c r="L53" s="766"/>
      <c r="M53" s="766"/>
      <c r="N53" s="766"/>
      <c r="O53" s="766"/>
      <c r="P53" s="824" t="s">
        <v>978</v>
      </c>
      <c r="Q53" s="825">
        <f t="shared" ref="Q53:Q62" si="9">+Q52-1</f>
        <v>9.5</v>
      </c>
      <c r="R53" s="826"/>
      <c r="S53" s="827">
        <f t="shared" si="8"/>
        <v>59570.72912849873</v>
      </c>
      <c r="T53" s="766"/>
      <c r="U53" s="766"/>
      <c r="V53" s="766"/>
      <c r="W53" s="766"/>
      <c r="X53" s="766"/>
      <c r="Y53" s="766"/>
      <c r="Z53" s="766"/>
    </row>
    <row r="54" spans="1:26">
      <c r="A54" s="768"/>
      <c r="B54" s="768"/>
      <c r="C54" s="768"/>
      <c r="D54" s="828"/>
      <c r="E54" s="766"/>
      <c r="F54" s="766"/>
      <c r="G54" s="766"/>
      <c r="H54" s="766"/>
      <c r="I54" s="766"/>
      <c r="J54" s="766"/>
      <c r="K54" s="766"/>
      <c r="L54" s="766"/>
      <c r="M54" s="766"/>
      <c r="N54" s="766"/>
      <c r="O54" s="766"/>
      <c r="P54" s="824" t="s">
        <v>979</v>
      </c>
      <c r="Q54" s="825">
        <f t="shared" si="9"/>
        <v>8.5</v>
      </c>
      <c r="R54" s="826"/>
      <c r="S54" s="827">
        <f t="shared" si="8"/>
        <v>130700.23918575064</v>
      </c>
      <c r="T54" s="766"/>
      <c r="U54" s="766"/>
      <c r="V54" s="766"/>
      <c r="W54" s="766"/>
      <c r="X54" s="766"/>
      <c r="Y54" s="766"/>
      <c r="Z54" s="766"/>
    </row>
    <row r="55" spans="1:26">
      <c r="A55" s="768">
        <f>+A12</f>
        <v>5</v>
      </c>
      <c r="B55" s="768" t="str">
        <f>+B12</f>
        <v>June</v>
      </c>
      <c r="C55" s="768" t="str">
        <f>+C12</f>
        <v>Year 2</v>
      </c>
      <c r="D55" s="771" t="str">
        <f>+D12</f>
        <v>Results of Step 3 go into effect for the Rate Year 1 (e.g., June 1, 2011 - May 31, 2012)</v>
      </c>
      <c r="E55" s="766"/>
      <c r="F55" s="766"/>
      <c r="G55" s="766"/>
      <c r="H55" s="766"/>
      <c r="I55" s="766"/>
      <c r="J55" s="766"/>
      <c r="K55" s="766"/>
      <c r="L55" s="766"/>
      <c r="M55" s="766"/>
      <c r="N55" s="766"/>
      <c r="O55" s="766"/>
      <c r="P55" s="824" t="s">
        <v>797</v>
      </c>
      <c r="Q55" s="825">
        <f t="shared" si="9"/>
        <v>7.5</v>
      </c>
      <c r="R55" s="826"/>
      <c r="S55" s="827">
        <f t="shared" si="8"/>
        <v>21793.625954198473</v>
      </c>
      <c r="T55" s="766"/>
      <c r="U55" s="766"/>
      <c r="V55" s="766"/>
      <c r="W55" s="766"/>
      <c r="X55" s="766"/>
      <c r="Y55" s="766"/>
      <c r="Z55" s="766"/>
    </row>
    <row r="56" spans="1:26">
      <c r="A56" s="768"/>
      <c r="B56" s="768"/>
      <c r="C56" s="768"/>
      <c r="D56" s="820">
        <f>+D53</f>
        <v>0</v>
      </c>
      <c r="E56" s="766"/>
      <c r="F56" s="766"/>
      <c r="G56" s="766"/>
      <c r="H56" s="766"/>
      <c r="I56" s="766"/>
      <c r="J56" s="766"/>
      <c r="K56" s="766"/>
      <c r="L56" s="766"/>
      <c r="M56" s="766"/>
      <c r="N56" s="766"/>
      <c r="O56" s="766"/>
      <c r="P56" s="824" t="s">
        <v>980</v>
      </c>
      <c r="Q56" s="825">
        <f t="shared" si="9"/>
        <v>6.5</v>
      </c>
      <c r="R56" s="826"/>
      <c r="S56" s="827">
        <f t="shared" si="8"/>
        <v>145074.65776081424</v>
      </c>
      <c r="T56" s="766"/>
      <c r="U56" s="766"/>
      <c r="V56" s="766"/>
      <c r="W56" s="766"/>
      <c r="X56" s="766"/>
      <c r="Y56" s="766"/>
      <c r="Z56" s="766"/>
    </row>
    <row r="57" spans="1:26">
      <c r="A57" s="768"/>
      <c r="B57" s="768"/>
      <c r="C57" s="768"/>
      <c r="D57" s="766"/>
      <c r="E57" s="766"/>
      <c r="F57" s="766"/>
      <c r="G57" s="766"/>
      <c r="H57" s="766"/>
      <c r="I57" s="766"/>
      <c r="J57" s="766"/>
      <c r="K57" s="766"/>
      <c r="L57" s="766"/>
      <c r="M57" s="766"/>
      <c r="N57" s="766"/>
      <c r="O57" s="766"/>
      <c r="P57" s="824" t="s">
        <v>981</v>
      </c>
      <c r="Q57" s="825">
        <f t="shared" si="9"/>
        <v>5.5</v>
      </c>
      <c r="R57" s="826"/>
      <c r="S57" s="827">
        <f t="shared" si="8"/>
        <v>29460.554071246821</v>
      </c>
      <c r="T57" s="766"/>
      <c r="U57" s="766"/>
      <c r="V57" s="766"/>
      <c r="W57" s="766"/>
      <c r="X57" s="766"/>
      <c r="Y57" s="766"/>
      <c r="Z57" s="766"/>
    </row>
    <row r="58" spans="1:26" ht="15.75">
      <c r="A58" s="768"/>
      <c r="B58" s="768"/>
      <c r="C58" s="768"/>
      <c r="D58" s="766"/>
      <c r="E58" s="766"/>
      <c r="F58" s="766"/>
      <c r="G58" s="766"/>
      <c r="H58" s="766"/>
      <c r="I58" s="766"/>
      <c r="J58" s="829"/>
      <c r="K58" s="766"/>
      <c r="L58" s="766"/>
      <c r="M58" s="766"/>
      <c r="N58" s="766"/>
      <c r="O58" s="766"/>
      <c r="P58" s="824" t="s">
        <v>982</v>
      </c>
      <c r="Q58" s="825">
        <f t="shared" si="9"/>
        <v>4.5</v>
      </c>
      <c r="R58" s="826"/>
      <c r="S58" s="827">
        <f t="shared" si="8"/>
        <v>265347.97900763358</v>
      </c>
      <c r="T58" s="766"/>
      <c r="U58" s="766"/>
      <c r="V58" s="766"/>
      <c r="W58" s="766"/>
      <c r="X58" s="766"/>
      <c r="Y58" s="766"/>
      <c r="Z58" s="766"/>
    </row>
    <row r="59" spans="1:26" ht="15.75">
      <c r="A59" s="768"/>
      <c r="B59" s="768"/>
      <c r="C59" s="768"/>
      <c r="D59" s="766"/>
      <c r="E59" s="766"/>
      <c r="F59" s="766"/>
      <c r="G59" s="766"/>
      <c r="H59" s="766"/>
      <c r="I59" s="766"/>
      <c r="J59" s="829"/>
      <c r="K59" s="766"/>
      <c r="L59" s="766"/>
      <c r="M59" s="766"/>
      <c r="N59" s="766"/>
      <c r="O59" s="766"/>
      <c r="P59" s="824" t="s">
        <v>983</v>
      </c>
      <c r="Q59" s="825">
        <f t="shared" si="9"/>
        <v>3.5</v>
      </c>
      <c r="R59" s="826"/>
      <c r="S59" s="827">
        <f t="shared" si="8"/>
        <v>10510.522264631045</v>
      </c>
      <c r="T59" s="766"/>
      <c r="U59" s="766"/>
      <c r="V59" s="766"/>
      <c r="W59" s="766"/>
      <c r="X59" s="766"/>
      <c r="Y59" s="766"/>
      <c r="Z59" s="766"/>
    </row>
    <row r="60" spans="1:26">
      <c r="A60" s="768">
        <f>+A14</f>
        <v>6</v>
      </c>
      <c r="B60" s="768" t="str">
        <f>+B14</f>
        <v>April</v>
      </c>
      <c r="C60" s="768" t="str">
        <f>+C14</f>
        <v>Year 3</v>
      </c>
      <c r="D60" s="771" t="str">
        <f>+D14</f>
        <v>TO populates the formula with Year 2 data from FERC Form No. 1 for Year 2 (e.g., 2011)</v>
      </c>
      <c r="E60" s="766"/>
      <c r="F60" s="766"/>
      <c r="G60" s="766"/>
      <c r="H60" s="766"/>
      <c r="I60" s="766"/>
      <c r="J60" s="766"/>
      <c r="K60" s="766"/>
      <c r="L60" s="766"/>
      <c r="M60" s="766"/>
      <c r="N60" s="766"/>
      <c r="O60" s="766"/>
      <c r="P60" s="824" t="s">
        <v>984</v>
      </c>
      <c r="Q60" s="825">
        <f t="shared" si="9"/>
        <v>2.5</v>
      </c>
      <c r="R60" s="826"/>
      <c r="S60" s="827">
        <f t="shared" si="8"/>
        <v>37984.856870229007</v>
      </c>
      <c r="T60" s="766"/>
      <c r="U60" s="766"/>
      <c r="V60" s="766"/>
      <c r="W60" s="766"/>
      <c r="X60" s="766"/>
      <c r="Y60" s="766"/>
      <c r="Z60" s="766"/>
    </row>
    <row r="61" spans="1:26">
      <c r="A61" s="768"/>
      <c r="B61" s="768"/>
      <c r="C61" s="768"/>
      <c r="D61" s="830">
        <f>D56</f>
        <v>0</v>
      </c>
      <c r="E61" s="766" t="s">
        <v>990</v>
      </c>
      <c r="F61" s="766"/>
      <c r="G61" s="775" t="str">
        <f>"Must run Appendix A to get this number (without inputs in lines "&amp;'Appendix A'!A39&amp;" or "&amp;'Appendix A'!A73&amp;" of Appendix A)"</f>
        <v>Must run Appendix A to get this number (without inputs in lines 16 or 34 of Appendix A)</v>
      </c>
      <c r="H61" s="766"/>
      <c r="I61" s="766"/>
      <c r="J61" s="274"/>
      <c r="K61" s="766"/>
      <c r="L61" s="766"/>
      <c r="M61" s="766"/>
      <c r="N61" s="766"/>
      <c r="O61" s="766"/>
      <c r="P61" s="824" t="s">
        <v>985</v>
      </c>
      <c r="Q61" s="825">
        <f t="shared" si="9"/>
        <v>1.5</v>
      </c>
      <c r="R61" s="826"/>
      <c r="S61" s="827">
        <f t="shared" si="8"/>
        <v>1895.7175572519081</v>
      </c>
      <c r="T61" s="766"/>
      <c r="U61" s="766"/>
      <c r="V61" s="766"/>
      <c r="W61" s="766"/>
      <c r="X61" s="766"/>
      <c r="Y61" s="766"/>
      <c r="Z61" s="766"/>
    </row>
    <row r="62" spans="1:26">
      <c r="A62" s="768"/>
      <c r="B62" s="768"/>
      <c r="C62" s="768"/>
      <c r="D62" s="831"/>
      <c r="E62" s="766"/>
      <c r="F62" s="766"/>
      <c r="G62" s="831"/>
      <c r="H62" s="766"/>
      <c r="I62" s="766"/>
      <c r="J62" s="766"/>
      <c r="K62" s="766"/>
      <c r="L62" s="766"/>
      <c r="M62" s="766"/>
      <c r="N62" s="766"/>
      <c r="O62" s="766"/>
      <c r="P62" s="832" t="s">
        <v>986</v>
      </c>
      <c r="Q62" s="833">
        <f t="shared" si="9"/>
        <v>0.5</v>
      </c>
      <c r="R62" s="834"/>
      <c r="S62" s="835">
        <f t="shared" si="8"/>
        <v>315.1723918575064</v>
      </c>
      <c r="T62" s="766"/>
      <c r="U62" s="766"/>
      <c r="V62" s="766"/>
      <c r="W62" s="766"/>
      <c r="X62" s="766"/>
      <c r="Y62" s="766"/>
      <c r="Z62" s="766"/>
    </row>
    <row r="63" spans="1:26">
      <c r="A63" s="768"/>
      <c r="B63" s="768"/>
      <c r="C63" s="768"/>
      <c r="D63" s="836"/>
      <c r="E63" s="766"/>
      <c r="F63" s="766"/>
      <c r="G63" s="766"/>
      <c r="H63" s="766"/>
      <c r="I63" s="766"/>
      <c r="J63" s="766"/>
      <c r="K63" s="766"/>
      <c r="L63" s="766"/>
      <c r="M63" s="766"/>
      <c r="N63" s="766"/>
      <c r="O63" s="766"/>
      <c r="P63" s="837" t="s">
        <v>991</v>
      </c>
      <c r="Q63" s="838"/>
      <c r="R63" s="838"/>
      <c r="S63" s="839">
        <f>SUM(S51:S62)</f>
        <v>1480904.9377926211</v>
      </c>
      <c r="T63" s="766"/>
      <c r="U63" s="766"/>
      <c r="V63" s="766"/>
      <c r="W63" s="766"/>
      <c r="X63" s="815"/>
      <c r="Y63" s="766"/>
      <c r="Z63" s="766"/>
    </row>
    <row r="64" spans="1:26">
      <c r="A64" s="768"/>
      <c r="B64" s="768"/>
      <c r="C64" s="768"/>
      <c r="D64" s="766"/>
      <c r="E64" s="766"/>
      <c r="F64" s="766"/>
      <c r="G64" s="766"/>
      <c r="H64" s="799"/>
      <c r="I64" s="766"/>
      <c r="J64" s="766"/>
      <c r="K64" s="766"/>
      <c r="L64" s="766"/>
      <c r="M64" s="766"/>
      <c r="N64" s="766"/>
      <c r="O64" s="766"/>
      <c r="P64" s="274"/>
      <c r="Q64" s="274"/>
      <c r="R64" s="274"/>
      <c r="S64" s="274"/>
      <c r="T64" s="766"/>
      <c r="U64" s="766"/>
      <c r="V64" s="766"/>
      <c r="W64" s="766"/>
      <c r="X64" s="766"/>
      <c r="Y64" s="766"/>
      <c r="Z64" s="766"/>
    </row>
    <row r="65" spans="1:26">
      <c r="A65" s="768">
        <v>7</v>
      </c>
      <c r="B65" s="768" t="str">
        <f>+B15</f>
        <v>April</v>
      </c>
      <c r="C65" s="768" t="str">
        <f>+C15</f>
        <v>Year 3</v>
      </c>
      <c r="D65" s="771" t="str">
        <f>+D15</f>
        <v>Reconciliation - actual data</v>
      </c>
      <c r="E65" s="274"/>
      <c r="F65" s="274"/>
      <c r="G65" s="274"/>
      <c r="H65" s="274"/>
      <c r="I65" s="274"/>
      <c r="J65" s="274"/>
      <c r="K65" s="766"/>
      <c r="L65" s="766"/>
      <c r="M65" s="766"/>
      <c r="N65" s="766"/>
      <c r="O65" s="766"/>
      <c r="P65" s="766"/>
      <c r="Q65" s="766"/>
      <c r="R65" s="766"/>
      <c r="S65" s="766"/>
      <c r="T65" s="766"/>
      <c r="U65" s="766"/>
      <c r="V65" s="766"/>
      <c r="W65" s="766"/>
      <c r="X65" s="766"/>
      <c r="Y65" s="766"/>
      <c r="Z65" s="766"/>
    </row>
    <row r="66" spans="1:26">
      <c r="A66" s="768"/>
      <c r="B66" s="768"/>
      <c r="C66" s="768"/>
      <c r="D66" s="830">
        <f>D61</f>
        <v>0</v>
      </c>
      <c r="E66" s="840" t="s">
        <v>992</v>
      </c>
      <c r="F66" s="766"/>
      <c r="G66" s="775" t="str">
        <f>"Must run Appendix A to get this number (with inputs in lines "&amp;'Appendix A'!A39&amp;" and "&amp;'Appendix A'!A73&amp;" of Appendix A)"</f>
        <v>Must run Appendix A to get this number (with inputs in lines 16 and 34 of Appendix A)</v>
      </c>
      <c r="H66" s="766"/>
      <c r="I66" s="766"/>
      <c r="J66" s="766"/>
      <c r="K66" s="766"/>
      <c r="L66" s="799"/>
      <c r="M66" s="799"/>
      <c r="N66" s="766"/>
      <c r="O66" s="274"/>
      <c r="X66" s="766"/>
      <c r="Y66" s="766"/>
      <c r="Z66" s="766"/>
    </row>
    <row r="67" spans="1:26">
      <c r="A67" s="764"/>
      <c r="B67" s="768"/>
      <c r="C67" s="768"/>
      <c r="D67" s="274"/>
      <c r="E67" s="766"/>
      <c r="F67" s="766"/>
      <c r="G67" s="766"/>
      <c r="H67" s="799"/>
      <c r="I67" s="766"/>
      <c r="J67" s="766"/>
      <c r="K67" s="766"/>
      <c r="L67" s="766"/>
      <c r="M67" s="766"/>
      <c r="N67" s="766"/>
      <c r="O67" s="766"/>
      <c r="P67" s="766"/>
      <c r="Q67" s="766"/>
      <c r="R67" s="766"/>
      <c r="S67" s="766"/>
      <c r="T67" s="766"/>
      <c r="U67" s="766"/>
      <c r="V67" s="766"/>
      <c r="W67" s="766"/>
      <c r="X67" s="766"/>
      <c r="Y67" s="766"/>
      <c r="Z67" s="766"/>
    </row>
    <row r="68" spans="1:26">
      <c r="A68" s="768"/>
      <c r="B68" s="768"/>
      <c r="C68" s="768"/>
      <c r="D68" s="840"/>
      <c r="E68" s="766"/>
      <c r="F68" s="766"/>
      <c r="G68" s="766"/>
      <c r="H68" s="799"/>
      <c r="I68" s="766"/>
      <c r="J68" s="766"/>
      <c r="K68" s="766"/>
      <c r="L68" s="766"/>
      <c r="M68" s="766"/>
      <c r="N68" s="766"/>
      <c r="O68" s="766"/>
      <c r="P68" s="766"/>
      <c r="Q68" s="766"/>
      <c r="R68" s="766"/>
      <c r="S68" s="799"/>
      <c r="T68" s="766"/>
      <c r="U68" s="766"/>
      <c r="V68" s="766"/>
      <c r="W68" s="766"/>
      <c r="X68" s="766"/>
      <c r="Y68" s="766"/>
      <c r="Z68" s="766"/>
    </row>
    <row r="69" spans="1:26">
      <c r="A69" s="764"/>
      <c r="B69" s="768"/>
      <c r="C69" s="768"/>
      <c r="D69" s="841">
        <v>0</v>
      </c>
      <c r="E69" s="766" t="s">
        <v>993</v>
      </c>
      <c r="F69" s="766"/>
      <c r="G69" s="766"/>
      <c r="H69" s="799"/>
      <c r="I69" s="766"/>
      <c r="J69" s="766"/>
      <c r="K69" s="766"/>
      <c r="L69" s="766"/>
      <c r="M69" s="766"/>
      <c r="N69" s="766"/>
      <c r="O69" s="766"/>
      <c r="P69" s="766"/>
      <c r="Q69" s="766"/>
      <c r="R69" s="766"/>
      <c r="S69" s="766"/>
      <c r="T69" s="766"/>
      <c r="U69" s="766"/>
      <c r="V69" s="766"/>
      <c r="W69" s="766"/>
      <c r="X69" s="766"/>
      <c r="Y69" s="766"/>
      <c r="Z69" s="766"/>
    </row>
    <row r="70" spans="1:26">
      <c r="A70" s="764"/>
      <c r="B70" s="768"/>
      <c r="C70" s="768"/>
      <c r="D70" s="274"/>
      <c r="E70" s="766"/>
      <c r="F70" s="766"/>
      <c r="G70" s="766"/>
      <c r="H70" s="799"/>
      <c r="I70" s="766"/>
      <c r="J70" s="766"/>
      <c r="K70" s="766"/>
      <c r="L70" s="766"/>
      <c r="M70" s="766"/>
      <c r="N70" s="766"/>
      <c r="O70" s="766"/>
      <c r="P70" s="766"/>
      <c r="Q70" s="766"/>
      <c r="R70" s="766"/>
      <c r="S70" s="766"/>
      <c r="T70" s="766"/>
      <c r="U70" s="766"/>
      <c r="V70" s="766"/>
      <c r="W70" s="766"/>
      <c r="X70" s="766"/>
      <c r="Y70" s="766"/>
      <c r="Z70" s="766"/>
    </row>
    <row r="71" spans="1:26" ht="15.75">
      <c r="A71" s="842"/>
      <c r="B71" s="842"/>
      <c r="C71" s="842"/>
      <c r="D71" s="843"/>
      <c r="E71" s="843"/>
      <c r="F71" s="843"/>
      <c r="G71" s="843"/>
      <c r="H71" s="843"/>
      <c r="I71" s="843"/>
      <c r="J71" s="843"/>
      <c r="K71" s="843"/>
      <c r="L71" s="843"/>
      <c r="M71" s="843"/>
      <c r="N71" s="843"/>
      <c r="O71" s="843"/>
      <c r="P71" s="843"/>
      <c r="Q71" s="843"/>
      <c r="R71" s="843"/>
      <c r="S71" s="843"/>
      <c r="T71" s="843"/>
      <c r="U71" s="843"/>
      <c r="V71" s="843"/>
      <c r="W71" s="843"/>
      <c r="X71" s="843"/>
      <c r="Y71" s="843"/>
      <c r="Z71" s="843"/>
    </row>
    <row r="72" spans="1:26" ht="15.75">
      <c r="A72" s="842"/>
      <c r="B72" s="842"/>
      <c r="C72" s="842"/>
      <c r="D72" s="843"/>
      <c r="E72" s="843"/>
      <c r="F72" s="843"/>
      <c r="G72" s="843"/>
      <c r="H72" s="843"/>
      <c r="I72" s="843"/>
      <c r="J72" s="843"/>
      <c r="K72" s="843"/>
      <c r="L72" s="843"/>
      <c r="M72" s="843"/>
      <c r="N72" s="843"/>
      <c r="O72" s="843"/>
      <c r="P72" s="843"/>
      <c r="Q72" s="843"/>
      <c r="R72" s="843"/>
      <c r="S72" s="843"/>
      <c r="T72" s="843"/>
      <c r="U72" s="843"/>
      <c r="V72" s="843"/>
      <c r="W72" s="843"/>
      <c r="X72" s="843"/>
      <c r="Y72" s="843"/>
      <c r="Z72" s="843"/>
    </row>
    <row r="73" spans="1:26" ht="15.75">
      <c r="A73" s="842"/>
      <c r="B73" s="842"/>
      <c r="C73" s="842"/>
      <c r="D73" s="843"/>
      <c r="E73" s="843"/>
      <c r="F73" s="843"/>
      <c r="G73" s="843"/>
      <c r="H73" s="843"/>
      <c r="I73" s="843"/>
      <c r="J73" s="843"/>
      <c r="K73" s="843"/>
      <c r="L73" s="843"/>
      <c r="M73" s="843"/>
      <c r="N73" s="843"/>
      <c r="O73" s="843"/>
      <c r="P73" s="843"/>
      <c r="Q73" s="843"/>
      <c r="R73" s="843"/>
      <c r="S73" s="843"/>
      <c r="T73" s="843"/>
      <c r="U73" s="843"/>
      <c r="V73" s="843"/>
      <c r="W73" s="843"/>
      <c r="X73" s="843"/>
      <c r="Y73" s="843"/>
      <c r="Z73" s="843"/>
    </row>
    <row r="74" spans="1:26" ht="15.75">
      <c r="A74" s="842"/>
      <c r="B74" s="842"/>
      <c r="C74" s="842"/>
      <c r="D74" s="843"/>
      <c r="E74" s="843"/>
      <c r="F74" s="843"/>
      <c r="G74" s="843"/>
      <c r="H74" s="843"/>
      <c r="I74" s="843"/>
      <c r="J74" s="843"/>
      <c r="K74" s="843"/>
      <c r="L74" s="843"/>
      <c r="M74" s="843"/>
      <c r="N74" s="843"/>
      <c r="O74" s="843"/>
      <c r="P74" s="843"/>
      <c r="Q74" s="843"/>
      <c r="R74" s="843"/>
      <c r="S74" s="843"/>
      <c r="T74" s="843"/>
      <c r="U74" s="843"/>
      <c r="V74" s="843"/>
      <c r="W74" s="843"/>
      <c r="X74" s="843"/>
      <c r="Y74" s="843"/>
      <c r="Z74" s="843"/>
    </row>
    <row r="75" spans="1:26" ht="15.75">
      <c r="A75" s="842"/>
      <c r="B75" s="842"/>
      <c r="C75" s="842"/>
      <c r="D75" s="843"/>
      <c r="E75" s="843"/>
      <c r="F75" s="843"/>
      <c r="G75" s="843"/>
      <c r="H75" s="843"/>
      <c r="I75" s="843"/>
      <c r="J75" s="843"/>
      <c r="K75" s="843"/>
      <c r="L75" s="843"/>
      <c r="M75" s="843"/>
      <c r="N75" s="843"/>
      <c r="O75" s="843"/>
      <c r="P75" s="843"/>
      <c r="Q75" s="843"/>
      <c r="R75" s="843"/>
      <c r="S75" s="843"/>
      <c r="T75" s="843"/>
      <c r="U75" s="843"/>
      <c r="V75" s="843"/>
      <c r="W75" s="843"/>
      <c r="X75" s="843"/>
      <c r="Y75" s="843"/>
      <c r="Z75" s="843"/>
    </row>
    <row r="76" spans="1:26" ht="15.75">
      <c r="A76" s="842"/>
      <c r="B76" s="842"/>
      <c r="C76" s="842"/>
      <c r="D76" s="843"/>
      <c r="E76" s="843"/>
      <c r="F76" s="843"/>
      <c r="G76" s="843"/>
      <c r="H76" s="843"/>
      <c r="I76" s="843"/>
      <c r="J76" s="843"/>
      <c r="K76" s="843"/>
      <c r="L76" s="843"/>
      <c r="M76" s="843"/>
      <c r="N76" s="843"/>
      <c r="O76" s="843"/>
      <c r="P76" s="843"/>
      <c r="Q76" s="843"/>
      <c r="R76" s="843"/>
      <c r="S76" s="843"/>
      <c r="T76" s="843"/>
      <c r="U76" s="843"/>
      <c r="V76" s="843"/>
      <c r="W76" s="843"/>
      <c r="X76" s="843"/>
      <c r="Y76" s="843"/>
      <c r="Z76" s="843"/>
    </row>
    <row r="77" spans="1:26" ht="15.75">
      <c r="A77" s="842"/>
      <c r="B77" s="842"/>
      <c r="C77" s="842"/>
      <c r="D77" s="843"/>
      <c r="E77" s="843"/>
      <c r="F77" s="843"/>
      <c r="G77" s="843"/>
      <c r="H77" s="843"/>
      <c r="I77" s="843"/>
      <c r="J77" s="843"/>
      <c r="K77" s="843"/>
      <c r="L77" s="843"/>
      <c r="M77" s="843"/>
      <c r="N77" s="843"/>
      <c r="O77" s="843"/>
      <c r="P77" s="843"/>
      <c r="Q77" s="843"/>
      <c r="R77" s="843"/>
      <c r="S77" s="843"/>
      <c r="T77" s="843"/>
      <c r="U77" s="843"/>
      <c r="V77" s="843"/>
      <c r="W77" s="843"/>
      <c r="X77" s="843"/>
      <c r="Y77" s="843"/>
      <c r="Z77" s="843"/>
    </row>
    <row r="78" spans="1:26" ht="15.75">
      <c r="A78" s="842"/>
      <c r="B78" s="842"/>
      <c r="C78" s="842"/>
      <c r="D78" s="843"/>
      <c r="E78" s="843"/>
      <c r="F78" s="843"/>
      <c r="G78" s="843"/>
      <c r="H78" s="843"/>
      <c r="I78" s="843"/>
      <c r="J78" s="843"/>
      <c r="K78" s="843"/>
      <c r="L78" s="843"/>
      <c r="M78" s="843"/>
      <c r="N78" s="843"/>
      <c r="O78" s="843"/>
      <c r="P78" s="843"/>
      <c r="Q78" s="843"/>
      <c r="R78" s="843"/>
      <c r="S78" s="843"/>
      <c r="T78" s="843"/>
      <c r="U78" s="843"/>
      <c r="V78" s="843"/>
      <c r="W78" s="843"/>
      <c r="X78" s="843"/>
      <c r="Y78" s="843"/>
      <c r="Z78" s="843"/>
    </row>
    <row r="79" spans="1:26" ht="15.75">
      <c r="A79" s="842"/>
      <c r="B79" s="842"/>
      <c r="C79" s="842"/>
      <c r="D79" s="843"/>
      <c r="E79" s="843"/>
      <c r="F79" s="843"/>
      <c r="G79" s="843"/>
      <c r="H79" s="843"/>
      <c r="I79" s="843"/>
      <c r="J79" s="843"/>
      <c r="K79" s="843"/>
      <c r="L79" s="843"/>
      <c r="M79" s="843"/>
      <c r="N79" s="843"/>
      <c r="O79" s="843"/>
      <c r="P79" s="843"/>
      <c r="Q79" s="843"/>
      <c r="R79" s="843"/>
      <c r="S79" s="843"/>
      <c r="T79" s="843"/>
      <c r="U79" s="843"/>
      <c r="V79" s="843"/>
      <c r="W79" s="843"/>
      <c r="X79" s="843"/>
      <c r="Y79" s="843"/>
      <c r="Z79" s="843"/>
    </row>
    <row r="80" spans="1:26" ht="15.75">
      <c r="A80" s="842"/>
      <c r="B80" s="842"/>
      <c r="C80" s="842"/>
      <c r="D80" s="843"/>
      <c r="E80" s="843"/>
      <c r="F80" s="843"/>
      <c r="G80" s="843"/>
      <c r="H80" s="843"/>
      <c r="I80" s="843"/>
      <c r="J80" s="843"/>
      <c r="K80" s="843"/>
      <c r="L80" s="843"/>
      <c r="M80" s="843"/>
      <c r="N80" s="843"/>
      <c r="O80" s="843"/>
      <c r="P80" s="843"/>
      <c r="Q80" s="843"/>
      <c r="R80" s="843"/>
      <c r="S80" s="843"/>
      <c r="T80" s="843"/>
      <c r="U80" s="843"/>
      <c r="V80" s="843"/>
      <c r="W80" s="843"/>
      <c r="X80" s="843"/>
      <c r="Y80" s="843"/>
      <c r="Z80" s="843"/>
    </row>
    <row r="81" spans="1:26" ht="15.75">
      <c r="A81" s="842"/>
      <c r="B81" s="842"/>
      <c r="C81" s="842"/>
      <c r="D81" s="843"/>
      <c r="E81" s="843"/>
      <c r="F81" s="843"/>
      <c r="G81" s="843"/>
      <c r="H81" s="843"/>
      <c r="I81" s="843"/>
      <c r="J81" s="843"/>
      <c r="K81" s="843"/>
      <c r="L81" s="843"/>
      <c r="M81" s="843"/>
      <c r="N81" s="843"/>
      <c r="O81" s="843"/>
      <c r="P81" s="843"/>
      <c r="Q81" s="843"/>
      <c r="R81" s="843"/>
      <c r="S81" s="843"/>
      <c r="T81" s="843"/>
      <c r="U81" s="843"/>
      <c r="V81" s="843"/>
      <c r="W81" s="843"/>
      <c r="X81" s="843"/>
      <c r="Y81" s="843"/>
      <c r="Z81" s="843"/>
    </row>
    <row r="82" spans="1:26" ht="15.75">
      <c r="A82" s="842"/>
      <c r="B82" s="842"/>
      <c r="C82" s="842"/>
      <c r="D82" s="843"/>
      <c r="E82" s="843"/>
      <c r="F82" s="843"/>
      <c r="G82" s="843"/>
      <c r="H82" s="843"/>
      <c r="I82" s="843"/>
      <c r="J82" s="843"/>
      <c r="K82" s="843"/>
      <c r="L82" s="843"/>
      <c r="M82" s="843"/>
      <c r="N82" s="843"/>
      <c r="O82" s="843"/>
      <c r="P82" s="843"/>
      <c r="Q82" s="843"/>
      <c r="R82" s="843"/>
      <c r="S82" s="843"/>
      <c r="T82" s="843"/>
      <c r="U82" s="843"/>
      <c r="V82" s="843"/>
      <c r="W82" s="843"/>
      <c r="X82" s="843"/>
      <c r="Y82" s="843"/>
      <c r="Z82" s="843"/>
    </row>
    <row r="83" spans="1:26" ht="15.75">
      <c r="A83" s="842"/>
      <c r="B83" s="842"/>
      <c r="C83" s="842"/>
      <c r="D83" s="843"/>
      <c r="E83" s="843"/>
      <c r="F83" s="843"/>
      <c r="G83" s="843"/>
      <c r="H83" s="843"/>
      <c r="I83" s="843"/>
      <c r="J83" s="843"/>
      <c r="K83" s="843"/>
      <c r="L83" s="843"/>
      <c r="M83" s="843"/>
      <c r="N83" s="843"/>
      <c r="O83" s="843"/>
      <c r="P83" s="843"/>
      <c r="Q83" s="843"/>
      <c r="R83" s="843"/>
      <c r="S83" s="843"/>
      <c r="T83" s="843"/>
      <c r="U83" s="843"/>
      <c r="V83" s="843"/>
      <c r="W83" s="843"/>
      <c r="X83" s="843"/>
      <c r="Y83" s="843"/>
      <c r="Z83" s="843"/>
    </row>
    <row r="84" spans="1:26" ht="15.75">
      <c r="A84" s="842"/>
      <c r="B84" s="842"/>
      <c r="C84" s="842"/>
      <c r="D84" s="843"/>
      <c r="E84" s="843"/>
      <c r="F84" s="843"/>
      <c r="G84" s="843"/>
      <c r="H84" s="843"/>
      <c r="I84" s="843"/>
      <c r="J84" s="843"/>
      <c r="K84" s="843"/>
      <c r="L84" s="843"/>
      <c r="M84" s="843"/>
      <c r="N84" s="843"/>
      <c r="O84" s="843"/>
      <c r="P84" s="843"/>
      <c r="Q84" s="843"/>
      <c r="R84" s="843"/>
      <c r="S84" s="843"/>
      <c r="T84" s="843"/>
      <c r="U84" s="843"/>
      <c r="V84" s="843"/>
      <c r="W84" s="843"/>
      <c r="X84" s="843"/>
      <c r="Y84" s="843"/>
      <c r="Z84" s="843"/>
    </row>
    <row r="85" spans="1:26" ht="15.75">
      <c r="A85" s="842"/>
      <c r="B85" s="842"/>
      <c r="C85" s="842"/>
      <c r="D85" s="843"/>
      <c r="E85" s="843"/>
      <c r="F85" s="843"/>
      <c r="G85" s="843"/>
      <c r="H85" s="843"/>
      <c r="I85" s="843"/>
      <c r="J85" s="843"/>
      <c r="K85" s="843"/>
      <c r="L85" s="843"/>
      <c r="M85" s="843"/>
      <c r="N85" s="843"/>
      <c r="O85" s="843"/>
      <c r="P85" s="843"/>
      <c r="Q85" s="843"/>
      <c r="R85" s="843"/>
      <c r="S85" s="843"/>
      <c r="T85" s="843"/>
      <c r="U85" s="843"/>
      <c r="V85" s="843"/>
      <c r="W85" s="843"/>
      <c r="X85" s="843"/>
      <c r="Y85" s="843"/>
      <c r="Z85" s="843"/>
    </row>
    <row r="86" spans="1:26" ht="15.75">
      <c r="A86" s="842"/>
      <c r="B86" s="842"/>
      <c r="C86" s="842"/>
      <c r="D86" s="843"/>
      <c r="E86" s="843"/>
      <c r="F86" s="843"/>
      <c r="G86" s="843"/>
      <c r="H86" s="843"/>
      <c r="I86" s="843"/>
      <c r="J86" s="843"/>
      <c r="K86" s="843"/>
      <c r="L86" s="843"/>
      <c r="M86" s="843"/>
      <c r="N86" s="843"/>
      <c r="O86" s="843"/>
      <c r="P86" s="843"/>
      <c r="Q86" s="843"/>
      <c r="R86" s="843"/>
      <c r="S86" s="843"/>
      <c r="T86" s="843"/>
      <c r="U86" s="843"/>
      <c r="V86" s="843"/>
      <c r="W86" s="843"/>
      <c r="X86" s="843"/>
      <c r="Y86" s="843"/>
      <c r="Z86" s="843"/>
    </row>
    <row r="87" spans="1:26" ht="15.75">
      <c r="A87" s="842"/>
      <c r="B87" s="842"/>
      <c r="C87" s="842"/>
      <c r="D87" s="843"/>
      <c r="E87" s="843"/>
      <c r="F87" s="843"/>
      <c r="G87" s="843"/>
      <c r="H87" s="843"/>
      <c r="I87" s="843"/>
      <c r="J87" s="843"/>
      <c r="K87" s="843"/>
      <c r="L87" s="843"/>
      <c r="M87" s="843"/>
      <c r="N87" s="843"/>
      <c r="O87" s="843"/>
      <c r="P87" s="843"/>
      <c r="Q87" s="843"/>
      <c r="R87" s="843"/>
      <c r="S87" s="843"/>
      <c r="T87" s="843"/>
      <c r="U87" s="843"/>
      <c r="V87" s="843"/>
      <c r="W87" s="843"/>
      <c r="X87" s="843"/>
      <c r="Y87" s="843"/>
      <c r="Z87" s="843"/>
    </row>
    <row r="88" spans="1:26" ht="15.75">
      <c r="A88" s="842"/>
      <c r="B88" s="842"/>
      <c r="C88" s="842"/>
      <c r="D88" s="843"/>
      <c r="E88" s="843"/>
      <c r="F88" s="843"/>
      <c r="G88" s="843"/>
      <c r="H88" s="843"/>
      <c r="I88" s="843"/>
      <c r="J88" s="843"/>
      <c r="K88" s="843"/>
      <c r="L88" s="843"/>
      <c r="M88" s="843"/>
      <c r="N88" s="843"/>
      <c r="O88" s="843"/>
      <c r="P88" s="843"/>
      <c r="Q88" s="843"/>
      <c r="R88" s="843"/>
      <c r="S88" s="843"/>
      <c r="T88" s="843"/>
      <c r="U88" s="843"/>
      <c r="V88" s="843"/>
      <c r="W88" s="843"/>
      <c r="X88" s="843"/>
      <c r="Y88" s="843"/>
      <c r="Z88" s="843"/>
    </row>
    <row r="89" spans="1:26" ht="15.75">
      <c r="A89" s="842"/>
      <c r="B89" s="842"/>
      <c r="C89" s="842"/>
      <c r="D89" s="843"/>
      <c r="E89" s="843"/>
      <c r="F89" s="843"/>
      <c r="G89" s="843"/>
      <c r="H89" s="843"/>
      <c r="I89" s="843"/>
      <c r="J89" s="843"/>
      <c r="K89" s="843"/>
      <c r="L89" s="843"/>
      <c r="M89" s="843"/>
      <c r="N89" s="843"/>
      <c r="O89" s="843"/>
      <c r="P89" s="843"/>
      <c r="Q89" s="843"/>
      <c r="R89" s="843"/>
      <c r="S89" s="843"/>
      <c r="T89" s="843"/>
      <c r="U89" s="843"/>
      <c r="V89" s="843"/>
      <c r="W89" s="843"/>
      <c r="X89" s="843"/>
      <c r="Y89" s="843"/>
      <c r="Z89" s="843"/>
    </row>
    <row r="90" spans="1:26" ht="15.75">
      <c r="A90" s="842"/>
      <c r="B90" s="842"/>
      <c r="C90" s="842"/>
      <c r="D90" s="843"/>
      <c r="E90" s="843"/>
      <c r="F90" s="843"/>
      <c r="G90" s="843"/>
      <c r="H90" s="843"/>
      <c r="I90" s="843"/>
      <c r="J90" s="843"/>
      <c r="K90" s="843"/>
      <c r="L90" s="843"/>
      <c r="M90" s="843"/>
      <c r="N90" s="843"/>
      <c r="O90" s="843"/>
      <c r="P90" s="843"/>
      <c r="Q90" s="843"/>
      <c r="R90" s="843"/>
      <c r="S90" s="843"/>
      <c r="T90" s="843"/>
      <c r="U90" s="843"/>
      <c r="V90" s="843"/>
      <c r="W90" s="843"/>
      <c r="X90" s="843"/>
      <c r="Y90" s="843"/>
      <c r="Z90" s="843"/>
    </row>
    <row r="91" spans="1:26" ht="15.75">
      <c r="A91" s="842"/>
      <c r="B91" s="842"/>
      <c r="C91" s="842"/>
      <c r="D91" s="843"/>
      <c r="E91" s="843"/>
      <c r="F91" s="843"/>
      <c r="G91" s="843"/>
      <c r="H91" s="843"/>
      <c r="I91" s="843"/>
      <c r="J91" s="843"/>
      <c r="K91" s="843"/>
      <c r="L91" s="843"/>
      <c r="M91" s="843"/>
      <c r="N91" s="843"/>
      <c r="O91" s="843"/>
      <c r="P91" s="843"/>
      <c r="Q91" s="843"/>
      <c r="R91" s="843"/>
      <c r="S91" s="843"/>
      <c r="T91" s="843"/>
      <c r="U91" s="843"/>
      <c r="V91" s="843"/>
      <c r="W91" s="843"/>
      <c r="X91" s="843"/>
      <c r="Y91" s="843"/>
      <c r="Z91" s="843"/>
    </row>
    <row r="92" spans="1:26" ht="15.75">
      <c r="A92" s="842"/>
      <c r="B92" s="842"/>
      <c r="C92" s="842"/>
      <c r="D92" s="843"/>
      <c r="E92" s="843"/>
      <c r="F92" s="843"/>
      <c r="G92" s="843"/>
      <c r="H92" s="843"/>
      <c r="I92" s="843"/>
      <c r="J92" s="843"/>
      <c r="K92" s="843"/>
      <c r="L92" s="843"/>
      <c r="M92" s="843"/>
      <c r="N92" s="843"/>
      <c r="O92" s="843"/>
      <c r="P92" s="843"/>
      <c r="Q92" s="843"/>
      <c r="R92" s="843"/>
      <c r="S92" s="843"/>
      <c r="T92" s="843"/>
      <c r="U92" s="843"/>
      <c r="V92" s="843"/>
      <c r="W92" s="843"/>
      <c r="X92" s="843"/>
      <c r="Y92" s="843"/>
      <c r="Z92" s="843"/>
    </row>
    <row r="93" spans="1:26" ht="15.75">
      <c r="A93" s="842"/>
      <c r="B93" s="842"/>
      <c r="C93" s="842"/>
      <c r="D93" s="843"/>
      <c r="E93" s="843"/>
      <c r="F93" s="843"/>
      <c r="G93" s="843"/>
      <c r="H93" s="843"/>
      <c r="I93" s="843"/>
      <c r="J93" s="843"/>
      <c r="K93" s="843"/>
      <c r="L93" s="843"/>
      <c r="M93" s="843"/>
      <c r="N93" s="843"/>
      <c r="O93" s="843"/>
      <c r="P93" s="843"/>
      <c r="Q93" s="843"/>
      <c r="R93" s="843"/>
      <c r="S93" s="843"/>
      <c r="T93" s="843"/>
      <c r="U93" s="843"/>
      <c r="V93" s="843"/>
      <c r="W93" s="843"/>
      <c r="X93" s="843"/>
      <c r="Y93" s="843"/>
      <c r="Z93" s="843"/>
    </row>
    <row r="94" spans="1:26" ht="15.75">
      <c r="A94" s="842"/>
      <c r="B94" s="842"/>
      <c r="C94" s="842"/>
      <c r="D94" s="843"/>
      <c r="E94" s="843"/>
      <c r="F94" s="843"/>
      <c r="G94" s="843"/>
      <c r="H94" s="843"/>
      <c r="I94" s="843"/>
      <c r="J94" s="843"/>
      <c r="K94" s="843"/>
      <c r="L94" s="843"/>
      <c r="M94" s="843"/>
      <c r="N94" s="843"/>
      <c r="O94" s="843"/>
      <c r="P94" s="843"/>
      <c r="Q94" s="843"/>
      <c r="R94" s="843"/>
      <c r="S94" s="843"/>
      <c r="T94" s="843"/>
      <c r="U94" s="843"/>
      <c r="V94" s="843"/>
      <c r="W94" s="843"/>
      <c r="X94" s="843"/>
      <c r="Y94" s="843"/>
      <c r="Z94" s="843"/>
    </row>
    <row r="95" spans="1:26" ht="15.75">
      <c r="A95" s="842"/>
      <c r="B95" s="842"/>
      <c r="C95" s="842"/>
      <c r="D95" s="843"/>
      <c r="E95" s="843"/>
      <c r="F95" s="843"/>
      <c r="G95" s="843"/>
      <c r="H95" s="843"/>
      <c r="I95" s="843"/>
      <c r="J95" s="843"/>
      <c r="K95" s="843"/>
      <c r="L95" s="843"/>
      <c r="M95" s="843"/>
      <c r="N95" s="843"/>
      <c r="O95" s="843"/>
      <c r="P95" s="843"/>
      <c r="Q95" s="843"/>
      <c r="R95" s="843"/>
      <c r="S95" s="843"/>
      <c r="T95" s="843"/>
      <c r="U95" s="843"/>
      <c r="V95" s="843"/>
      <c r="W95" s="843"/>
      <c r="X95" s="843"/>
      <c r="Y95" s="843"/>
      <c r="Z95" s="843"/>
    </row>
    <row r="96" spans="1:26" ht="15.75">
      <c r="A96" s="842"/>
      <c r="B96" s="842"/>
      <c r="C96" s="842"/>
      <c r="D96" s="843"/>
      <c r="E96" s="843"/>
      <c r="F96" s="843"/>
      <c r="G96" s="843"/>
      <c r="H96" s="843"/>
      <c r="I96" s="843"/>
      <c r="J96" s="843"/>
      <c r="K96" s="843"/>
      <c r="L96" s="843"/>
      <c r="M96" s="843"/>
      <c r="N96" s="843"/>
      <c r="O96" s="843"/>
      <c r="P96" s="843"/>
      <c r="Q96" s="843"/>
      <c r="R96" s="843"/>
      <c r="S96" s="843"/>
      <c r="T96" s="843"/>
      <c r="U96" s="843"/>
      <c r="V96" s="843"/>
      <c r="W96" s="843"/>
      <c r="X96" s="843"/>
      <c r="Y96" s="843"/>
      <c r="Z96" s="843"/>
    </row>
    <row r="97" spans="1:26" ht="15.75">
      <c r="A97" s="842"/>
      <c r="B97" s="842"/>
      <c r="C97" s="842"/>
      <c r="D97" s="843"/>
      <c r="E97" s="843"/>
      <c r="F97" s="843"/>
      <c r="G97" s="843"/>
      <c r="H97" s="843"/>
      <c r="I97" s="843"/>
      <c r="J97" s="843"/>
      <c r="K97" s="843"/>
      <c r="L97" s="843"/>
      <c r="M97" s="843"/>
      <c r="N97" s="843"/>
      <c r="O97" s="843"/>
      <c r="P97" s="843"/>
      <c r="Q97" s="843"/>
      <c r="R97" s="843"/>
      <c r="S97" s="843"/>
      <c r="T97" s="843"/>
      <c r="U97" s="843"/>
      <c r="V97" s="843"/>
      <c r="W97" s="843"/>
      <c r="X97" s="843"/>
      <c r="Y97" s="843"/>
      <c r="Z97" s="843"/>
    </row>
    <row r="98" spans="1:26" ht="15.75">
      <c r="A98" s="842"/>
      <c r="B98" s="842"/>
      <c r="C98" s="842"/>
      <c r="D98" s="843"/>
      <c r="E98" s="843"/>
      <c r="F98" s="843"/>
      <c r="G98" s="843"/>
      <c r="H98" s="843"/>
      <c r="I98" s="843"/>
      <c r="J98" s="843"/>
      <c r="K98" s="843"/>
      <c r="L98" s="843"/>
      <c r="M98" s="843"/>
      <c r="N98" s="843"/>
      <c r="O98" s="843"/>
      <c r="P98" s="843"/>
      <c r="Q98" s="843"/>
      <c r="R98" s="843"/>
      <c r="S98" s="843"/>
      <c r="T98" s="843"/>
      <c r="U98" s="843"/>
      <c r="V98" s="843"/>
      <c r="W98" s="843"/>
      <c r="X98" s="843"/>
      <c r="Y98" s="843"/>
      <c r="Z98" s="843"/>
    </row>
    <row r="99" spans="1:26" ht="15.75">
      <c r="A99" s="842"/>
      <c r="B99" s="842"/>
      <c r="C99" s="842"/>
      <c r="D99" s="843"/>
      <c r="E99" s="843"/>
      <c r="F99" s="843"/>
      <c r="G99" s="843"/>
      <c r="H99" s="843"/>
      <c r="I99" s="843"/>
      <c r="J99" s="843"/>
      <c r="K99" s="843"/>
      <c r="L99" s="843"/>
      <c r="M99" s="843"/>
      <c r="N99" s="843"/>
      <c r="O99" s="843"/>
      <c r="P99" s="843"/>
      <c r="Q99" s="843"/>
      <c r="R99" s="843"/>
      <c r="S99" s="843"/>
      <c r="T99" s="843"/>
      <c r="U99" s="843"/>
      <c r="V99" s="843"/>
      <c r="W99" s="843"/>
      <c r="X99" s="843"/>
      <c r="Y99" s="843"/>
      <c r="Z99" s="843"/>
    </row>
    <row r="100" spans="1:26" ht="15.75">
      <c r="A100" s="842"/>
      <c r="B100" s="842"/>
      <c r="C100" s="842"/>
      <c r="D100" s="843"/>
      <c r="E100" s="843"/>
      <c r="F100" s="843"/>
      <c r="G100" s="843"/>
      <c r="H100" s="843"/>
      <c r="I100" s="843"/>
      <c r="J100" s="843"/>
      <c r="K100" s="843"/>
      <c r="L100" s="843"/>
      <c r="M100" s="843"/>
      <c r="N100" s="843"/>
      <c r="O100" s="843"/>
      <c r="P100" s="843"/>
      <c r="Q100" s="843"/>
      <c r="R100" s="843"/>
      <c r="S100" s="843"/>
      <c r="T100" s="843"/>
      <c r="U100" s="843"/>
      <c r="V100" s="843"/>
      <c r="W100" s="843"/>
      <c r="X100" s="843"/>
      <c r="Y100" s="843"/>
      <c r="Z100" s="843"/>
    </row>
    <row r="101" spans="1:26" ht="15.75">
      <c r="A101" s="842"/>
      <c r="B101" s="842"/>
      <c r="C101" s="842"/>
      <c r="D101" s="843"/>
      <c r="E101" s="843"/>
      <c r="F101" s="843"/>
      <c r="G101" s="843"/>
      <c r="H101" s="843"/>
      <c r="I101" s="843"/>
      <c r="J101" s="843"/>
      <c r="K101" s="843"/>
      <c r="L101" s="843"/>
      <c r="M101" s="843"/>
      <c r="N101" s="843"/>
      <c r="O101" s="843"/>
      <c r="P101" s="843"/>
      <c r="Q101" s="843"/>
      <c r="R101" s="843"/>
      <c r="S101" s="843"/>
      <c r="T101" s="843"/>
      <c r="U101" s="843"/>
      <c r="V101" s="843"/>
      <c r="W101" s="843"/>
      <c r="X101" s="843"/>
      <c r="Y101" s="843"/>
      <c r="Z101" s="843"/>
    </row>
    <row r="102" spans="1:26" ht="15.75">
      <c r="A102" s="842"/>
      <c r="B102" s="842"/>
      <c r="C102" s="842"/>
      <c r="D102" s="843"/>
      <c r="E102" s="843"/>
      <c r="F102" s="843"/>
      <c r="G102" s="843"/>
      <c r="H102" s="843"/>
      <c r="I102" s="843"/>
      <c r="J102" s="843"/>
      <c r="K102" s="843"/>
      <c r="L102" s="843"/>
      <c r="M102" s="843"/>
      <c r="N102" s="843"/>
      <c r="O102" s="843"/>
      <c r="P102" s="843"/>
      <c r="Q102" s="843"/>
      <c r="R102" s="843"/>
      <c r="S102" s="843"/>
      <c r="T102" s="843"/>
      <c r="U102" s="843"/>
      <c r="V102" s="843"/>
      <c r="W102" s="843"/>
      <c r="X102" s="843"/>
      <c r="Y102" s="843"/>
      <c r="Z102" s="843"/>
    </row>
    <row r="103" spans="1:26" ht="15.75">
      <c r="A103" s="842"/>
      <c r="B103" s="842"/>
      <c r="C103" s="842"/>
      <c r="D103" s="843"/>
      <c r="E103" s="843"/>
      <c r="F103" s="843"/>
      <c r="G103" s="843"/>
      <c r="H103" s="843"/>
      <c r="I103" s="843"/>
      <c r="J103" s="843"/>
      <c r="K103" s="843"/>
      <c r="L103" s="843"/>
      <c r="M103" s="843"/>
      <c r="N103" s="843"/>
      <c r="O103" s="843"/>
      <c r="P103" s="843"/>
      <c r="Q103" s="843"/>
      <c r="R103" s="843"/>
      <c r="S103" s="843"/>
      <c r="T103" s="843"/>
      <c r="U103" s="843"/>
      <c r="V103" s="843"/>
      <c r="W103" s="843"/>
      <c r="X103" s="843"/>
      <c r="Y103" s="843"/>
      <c r="Z103" s="843"/>
    </row>
    <row r="104" spans="1:26" ht="15.75">
      <c r="A104" s="842"/>
      <c r="B104" s="842"/>
      <c r="C104" s="842"/>
      <c r="D104" s="843"/>
      <c r="E104" s="843"/>
      <c r="F104" s="843"/>
      <c r="G104" s="843"/>
      <c r="H104" s="843"/>
      <c r="I104" s="843"/>
      <c r="J104" s="843"/>
      <c r="K104" s="843"/>
      <c r="L104" s="843"/>
      <c r="M104" s="843"/>
      <c r="N104" s="843"/>
      <c r="O104" s="843"/>
      <c r="P104" s="843"/>
      <c r="Q104" s="843"/>
      <c r="R104" s="843"/>
      <c r="S104" s="843"/>
      <c r="T104" s="843"/>
      <c r="U104" s="843"/>
      <c r="V104" s="843"/>
      <c r="W104" s="843"/>
      <c r="X104" s="843"/>
      <c r="Y104" s="843"/>
      <c r="Z104" s="843"/>
    </row>
    <row r="105" spans="1:26" ht="15.75">
      <c r="A105" s="842"/>
      <c r="B105" s="842"/>
      <c r="C105" s="842"/>
      <c r="D105" s="843"/>
      <c r="E105" s="843"/>
      <c r="F105" s="843"/>
      <c r="G105" s="843"/>
      <c r="H105" s="843"/>
      <c r="I105" s="843"/>
      <c r="J105" s="843"/>
      <c r="K105" s="843"/>
      <c r="L105" s="843"/>
      <c r="M105" s="843"/>
      <c r="N105" s="843"/>
      <c r="O105" s="843"/>
      <c r="P105" s="843"/>
      <c r="Q105" s="843"/>
      <c r="R105" s="843"/>
      <c r="S105" s="843"/>
      <c r="T105" s="843"/>
      <c r="U105" s="843"/>
      <c r="V105" s="843"/>
      <c r="W105" s="843"/>
      <c r="X105" s="843"/>
      <c r="Y105" s="843"/>
      <c r="Z105" s="843"/>
    </row>
    <row r="106" spans="1:26" ht="15.75">
      <c r="A106" s="842"/>
      <c r="B106" s="842"/>
      <c r="C106" s="842"/>
      <c r="D106" s="843"/>
      <c r="E106" s="843"/>
      <c r="F106" s="843"/>
      <c r="G106" s="843"/>
      <c r="H106" s="843"/>
      <c r="I106" s="843"/>
      <c r="J106" s="843"/>
      <c r="K106" s="843"/>
      <c r="L106" s="843"/>
      <c r="M106" s="843"/>
      <c r="N106" s="843"/>
      <c r="O106" s="843"/>
      <c r="P106" s="843"/>
      <c r="Q106" s="843"/>
      <c r="R106" s="843"/>
      <c r="S106" s="843"/>
      <c r="T106" s="843"/>
      <c r="U106" s="843"/>
      <c r="V106" s="843"/>
      <c r="W106" s="843"/>
      <c r="X106" s="843"/>
      <c r="Y106" s="843"/>
      <c r="Z106" s="843"/>
    </row>
    <row r="107" spans="1:26" ht="15.75">
      <c r="A107" s="842"/>
      <c r="B107" s="842"/>
      <c r="C107" s="842"/>
      <c r="D107" s="843"/>
      <c r="E107" s="843"/>
      <c r="F107" s="843"/>
      <c r="G107" s="843"/>
      <c r="H107" s="843"/>
      <c r="I107" s="843"/>
      <c r="J107" s="843"/>
      <c r="K107" s="843"/>
      <c r="L107" s="843"/>
      <c r="M107" s="843"/>
      <c r="N107" s="843"/>
      <c r="O107" s="843"/>
      <c r="P107" s="843"/>
      <c r="Q107" s="843"/>
      <c r="R107" s="843"/>
      <c r="S107" s="843"/>
      <c r="T107" s="843"/>
      <c r="U107" s="843"/>
      <c r="V107" s="843"/>
      <c r="W107" s="843"/>
      <c r="X107" s="843"/>
      <c r="Y107" s="843"/>
      <c r="Z107" s="843"/>
    </row>
    <row r="108" spans="1:26" ht="15.75">
      <c r="A108" s="842"/>
      <c r="B108" s="842"/>
      <c r="C108" s="842"/>
      <c r="D108" s="843"/>
      <c r="E108" s="843"/>
      <c r="F108" s="843"/>
      <c r="G108" s="843"/>
      <c r="H108" s="843"/>
      <c r="I108" s="843"/>
      <c r="J108" s="843"/>
      <c r="K108" s="843"/>
      <c r="L108" s="843"/>
      <c r="M108" s="843"/>
      <c r="N108" s="843"/>
      <c r="O108" s="843"/>
      <c r="P108" s="843"/>
      <c r="Q108" s="843"/>
      <c r="R108" s="843"/>
      <c r="S108" s="843"/>
      <c r="T108" s="843"/>
      <c r="U108" s="843"/>
      <c r="V108" s="843"/>
      <c r="W108" s="843"/>
      <c r="X108" s="843"/>
      <c r="Y108" s="843"/>
      <c r="Z108" s="843"/>
    </row>
    <row r="109" spans="1:26" ht="15.75">
      <c r="A109" s="842"/>
      <c r="B109" s="842"/>
      <c r="C109" s="842"/>
      <c r="D109" s="843"/>
      <c r="E109" s="843"/>
      <c r="F109" s="843"/>
      <c r="G109" s="843"/>
      <c r="H109" s="843"/>
      <c r="I109" s="843"/>
      <c r="J109" s="843"/>
      <c r="K109" s="843"/>
      <c r="L109" s="843"/>
      <c r="M109" s="843"/>
      <c r="N109" s="843"/>
      <c r="O109" s="843"/>
      <c r="P109" s="843"/>
      <c r="Q109" s="843"/>
      <c r="R109" s="843"/>
      <c r="S109" s="843"/>
      <c r="T109" s="843"/>
      <c r="U109" s="843"/>
      <c r="V109" s="843"/>
      <c r="W109" s="843"/>
      <c r="X109" s="843"/>
      <c r="Y109" s="843"/>
      <c r="Z109" s="843"/>
    </row>
    <row r="110" spans="1:26" ht="15.75">
      <c r="A110" s="842"/>
      <c r="B110" s="842"/>
      <c r="C110" s="842"/>
      <c r="D110" s="843"/>
      <c r="E110" s="843"/>
      <c r="F110" s="843"/>
      <c r="G110" s="843"/>
      <c r="H110" s="843"/>
      <c r="I110" s="843"/>
      <c r="J110" s="843"/>
      <c r="K110" s="843"/>
      <c r="L110" s="843"/>
      <c r="M110" s="843"/>
      <c r="N110" s="843"/>
      <c r="O110" s="843"/>
      <c r="P110" s="843"/>
      <c r="Q110" s="843"/>
      <c r="R110" s="843"/>
      <c r="S110" s="843"/>
      <c r="T110" s="843"/>
      <c r="U110" s="843"/>
      <c r="V110" s="843"/>
      <c r="W110" s="843"/>
      <c r="X110" s="843"/>
      <c r="Y110" s="843"/>
      <c r="Z110" s="843"/>
    </row>
    <row r="111" spans="1:26" ht="15.75">
      <c r="A111" s="842"/>
      <c r="B111" s="842"/>
      <c r="C111" s="842"/>
      <c r="D111" s="843"/>
      <c r="E111" s="843"/>
      <c r="F111" s="843"/>
      <c r="G111" s="843"/>
      <c r="H111" s="843"/>
      <c r="I111" s="843"/>
      <c r="J111" s="843"/>
      <c r="K111" s="843"/>
      <c r="L111" s="843"/>
      <c r="M111" s="843"/>
      <c r="N111" s="843"/>
      <c r="O111" s="843"/>
      <c r="P111" s="843"/>
      <c r="Q111" s="843"/>
      <c r="R111" s="843"/>
      <c r="S111" s="843"/>
      <c r="T111" s="843"/>
      <c r="U111" s="843"/>
      <c r="V111" s="843"/>
      <c r="W111" s="843"/>
      <c r="X111" s="843"/>
      <c r="Y111" s="843"/>
      <c r="Z111" s="843"/>
    </row>
    <row r="112" spans="1:26" ht="15.75">
      <c r="A112" s="842"/>
      <c r="B112" s="842"/>
      <c r="C112" s="842"/>
      <c r="D112" s="843"/>
      <c r="E112" s="843"/>
      <c r="F112" s="843"/>
      <c r="G112" s="843"/>
      <c r="H112" s="843"/>
      <c r="I112" s="843"/>
      <c r="J112" s="843"/>
      <c r="K112" s="843"/>
      <c r="L112" s="843"/>
      <c r="M112" s="843"/>
      <c r="N112" s="843"/>
      <c r="O112" s="843"/>
      <c r="P112" s="843"/>
      <c r="Q112" s="843"/>
      <c r="R112" s="843"/>
      <c r="S112" s="843"/>
      <c r="T112" s="843"/>
      <c r="U112" s="843"/>
      <c r="V112" s="843"/>
      <c r="W112" s="843"/>
      <c r="X112" s="843"/>
      <c r="Y112" s="843"/>
      <c r="Z112" s="843"/>
    </row>
    <row r="113" spans="1:26" ht="15.75">
      <c r="A113" s="842"/>
      <c r="B113" s="842"/>
      <c r="C113" s="842"/>
      <c r="D113" s="843"/>
      <c r="E113" s="843"/>
      <c r="F113" s="843"/>
      <c r="G113" s="843"/>
      <c r="H113" s="843"/>
      <c r="I113" s="843"/>
      <c r="J113" s="843"/>
      <c r="K113" s="843"/>
      <c r="L113" s="843"/>
      <c r="M113" s="843"/>
      <c r="N113" s="843"/>
      <c r="O113" s="843"/>
      <c r="P113" s="843"/>
      <c r="Q113" s="843"/>
      <c r="R113" s="843"/>
      <c r="S113" s="843"/>
      <c r="T113" s="843"/>
      <c r="U113" s="843"/>
      <c r="V113" s="843"/>
      <c r="W113" s="843"/>
      <c r="X113" s="843"/>
      <c r="Y113" s="843"/>
      <c r="Z113" s="843"/>
    </row>
    <row r="114" spans="1:26" ht="15.75">
      <c r="A114" s="842"/>
      <c r="B114" s="842"/>
      <c r="C114" s="842"/>
      <c r="D114" s="843"/>
      <c r="E114" s="843"/>
      <c r="F114" s="843"/>
      <c r="G114" s="843"/>
      <c r="H114" s="843"/>
      <c r="I114" s="843"/>
      <c r="J114" s="843"/>
      <c r="K114" s="843"/>
      <c r="L114" s="843"/>
      <c r="M114" s="843"/>
      <c r="N114" s="843"/>
      <c r="O114" s="843"/>
      <c r="P114" s="843"/>
      <c r="Q114" s="843"/>
      <c r="R114" s="843"/>
      <c r="S114" s="843"/>
      <c r="T114" s="843"/>
      <c r="U114" s="843"/>
      <c r="V114" s="843"/>
      <c r="W114" s="843"/>
      <c r="X114" s="843"/>
      <c r="Y114" s="843"/>
      <c r="Z114" s="843"/>
    </row>
    <row r="115" spans="1:26" ht="15.75">
      <c r="A115" s="842"/>
      <c r="B115" s="842"/>
      <c r="C115" s="842"/>
      <c r="D115" s="843"/>
      <c r="E115" s="843"/>
      <c r="F115" s="843"/>
      <c r="G115" s="843"/>
      <c r="H115" s="843"/>
      <c r="I115" s="843"/>
      <c r="J115" s="843"/>
      <c r="K115" s="843"/>
      <c r="L115" s="843"/>
      <c r="M115" s="843"/>
      <c r="N115" s="843"/>
      <c r="O115" s="843"/>
      <c r="P115" s="843"/>
      <c r="Q115" s="843"/>
      <c r="R115" s="843"/>
      <c r="S115" s="843"/>
      <c r="T115" s="843"/>
      <c r="U115" s="843"/>
      <c r="V115" s="843"/>
      <c r="W115" s="843"/>
      <c r="X115" s="843"/>
      <c r="Y115" s="843"/>
      <c r="Z115" s="843"/>
    </row>
    <row r="116" spans="1:26" ht="15.75">
      <c r="A116" s="842"/>
      <c r="B116" s="842"/>
      <c r="C116" s="842"/>
      <c r="D116" s="843"/>
      <c r="E116" s="843"/>
      <c r="F116" s="843"/>
      <c r="G116" s="843"/>
      <c r="H116" s="843"/>
      <c r="I116" s="843"/>
      <c r="J116" s="843"/>
      <c r="K116" s="843"/>
      <c r="L116" s="843"/>
      <c r="M116" s="843"/>
      <c r="N116" s="843"/>
      <c r="O116" s="843"/>
      <c r="P116" s="843"/>
      <c r="Q116" s="843"/>
      <c r="R116" s="843"/>
      <c r="S116" s="843"/>
      <c r="T116" s="843"/>
      <c r="U116" s="843"/>
      <c r="V116" s="843"/>
      <c r="W116" s="843"/>
      <c r="X116" s="843"/>
      <c r="Y116" s="843"/>
      <c r="Z116" s="843"/>
    </row>
    <row r="117" spans="1:26" ht="15.75">
      <c r="A117" s="842"/>
      <c r="B117" s="842"/>
      <c r="C117" s="842"/>
      <c r="D117" s="843"/>
      <c r="E117" s="843"/>
      <c r="F117" s="843"/>
      <c r="G117" s="843"/>
      <c r="H117" s="843"/>
      <c r="I117" s="843"/>
      <c r="J117" s="843"/>
      <c r="K117" s="843"/>
      <c r="L117" s="843"/>
      <c r="M117" s="843"/>
      <c r="N117" s="843"/>
      <c r="O117" s="843"/>
      <c r="P117" s="843"/>
      <c r="Q117" s="843"/>
      <c r="R117" s="843"/>
      <c r="S117" s="843"/>
      <c r="T117" s="843"/>
      <c r="U117" s="843"/>
      <c r="V117" s="843"/>
      <c r="W117" s="843"/>
      <c r="X117" s="843"/>
      <c r="Y117" s="843"/>
      <c r="Z117" s="843"/>
    </row>
    <row r="118" spans="1:26" ht="15.75">
      <c r="A118" s="842"/>
      <c r="B118" s="842"/>
      <c r="C118" s="842"/>
      <c r="D118" s="843"/>
      <c r="E118" s="843"/>
      <c r="F118" s="843"/>
      <c r="G118" s="843"/>
      <c r="H118" s="843"/>
      <c r="I118" s="843"/>
      <c r="J118" s="843"/>
      <c r="K118" s="843"/>
      <c r="L118" s="843"/>
      <c r="M118" s="843"/>
      <c r="N118" s="843"/>
      <c r="O118" s="843"/>
      <c r="P118" s="843"/>
      <c r="Q118" s="843"/>
      <c r="R118" s="843"/>
      <c r="S118" s="843"/>
      <c r="T118" s="843"/>
      <c r="U118" s="843"/>
      <c r="V118" s="843"/>
      <c r="W118" s="843"/>
      <c r="X118" s="843"/>
      <c r="Y118" s="843"/>
      <c r="Z118" s="843"/>
    </row>
    <row r="119" spans="1:26" ht="15.75">
      <c r="A119" s="842"/>
      <c r="B119" s="842"/>
      <c r="C119" s="842"/>
      <c r="D119" s="843"/>
      <c r="E119" s="843"/>
      <c r="F119" s="843"/>
      <c r="G119" s="843"/>
      <c r="H119" s="843"/>
      <c r="I119" s="843"/>
      <c r="J119" s="843"/>
      <c r="K119" s="843"/>
      <c r="L119" s="843"/>
      <c r="M119" s="843"/>
      <c r="N119" s="843"/>
      <c r="O119" s="843"/>
      <c r="P119" s="843"/>
      <c r="Q119" s="843"/>
      <c r="R119" s="843"/>
      <c r="S119" s="843"/>
      <c r="T119" s="843"/>
      <c r="U119" s="843"/>
      <c r="V119" s="843"/>
      <c r="W119" s="843"/>
      <c r="X119" s="843"/>
      <c r="Y119" s="843"/>
      <c r="Z119" s="843"/>
    </row>
    <row r="120" spans="1:26" ht="15.75">
      <c r="A120" s="842"/>
      <c r="B120" s="842"/>
      <c r="C120" s="842"/>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3"/>
    </row>
    <row r="121" spans="1:26" ht="15.75">
      <c r="A121" s="842"/>
      <c r="B121" s="842"/>
      <c r="C121" s="842"/>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3"/>
    </row>
    <row r="122" spans="1:26" ht="15.75">
      <c r="A122" s="842"/>
      <c r="B122" s="842"/>
      <c r="C122" s="842"/>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3"/>
    </row>
    <row r="123" spans="1:26" ht="15.75">
      <c r="A123" s="842"/>
      <c r="B123" s="842"/>
      <c r="C123" s="842"/>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3"/>
    </row>
    <row r="124" spans="1:26" ht="15.75">
      <c r="A124" s="842"/>
      <c r="B124" s="842"/>
      <c r="C124" s="842"/>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3"/>
    </row>
    <row r="125" spans="1:26" ht="15.75">
      <c r="A125" s="842"/>
      <c r="B125" s="842"/>
      <c r="C125" s="842"/>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3"/>
    </row>
    <row r="126" spans="1:26" ht="15.75">
      <c r="A126" s="842"/>
      <c r="B126" s="842"/>
      <c r="C126" s="842"/>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3"/>
    </row>
    <row r="127" spans="1:26" ht="15.75">
      <c r="A127" s="842"/>
      <c r="B127" s="842"/>
      <c r="C127" s="842"/>
      <c r="D127" s="843"/>
      <c r="E127" s="843"/>
      <c r="F127" s="843"/>
      <c r="G127" s="843"/>
      <c r="H127" s="843"/>
      <c r="I127" s="843"/>
      <c r="J127" s="843"/>
      <c r="K127" s="843"/>
      <c r="L127" s="843"/>
      <c r="M127" s="843"/>
      <c r="N127" s="843"/>
      <c r="O127" s="843"/>
      <c r="P127" s="843"/>
      <c r="Q127" s="843"/>
      <c r="R127" s="843"/>
      <c r="S127" s="843"/>
      <c r="T127" s="843"/>
      <c r="U127" s="843"/>
      <c r="V127" s="843"/>
      <c r="W127" s="843"/>
      <c r="X127" s="843"/>
      <c r="Y127" s="843"/>
      <c r="Z127" s="843"/>
    </row>
    <row r="128" spans="1:26" ht="15.75">
      <c r="A128" s="842"/>
      <c r="B128" s="842"/>
      <c r="C128" s="842"/>
      <c r="D128" s="843"/>
      <c r="E128" s="843"/>
      <c r="F128" s="843"/>
      <c r="G128" s="843"/>
      <c r="H128" s="843"/>
      <c r="I128" s="843"/>
      <c r="J128" s="843"/>
      <c r="K128" s="843"/>
      <c r="L128" s="843"/>
      <c r="M128" s="843"/>
      <c r="N128" s="843"/>
      <c r="O128" s="843"/>
      <c r="P128" s="843"/>
      <c r="Q128" s="843"/>
      <c r="R128" s="843"/>
      <c r="S128" s="843"/>
      <c r="T128" s="843"/>
      <c r="U128" s="843"/>
      <c r="V128" s="843"/>
      <c r="W128" s="843"/>
      <c r="X128" s="843"/>
      <c r="Y128" s="843"/>
      <c r="Z128" s="843"/>
    </row>
    <row r="129" spans="1:26" ht="15.75">
      <c r="A129" s="842"/>
      <c r="B129" s="842"/>
      <c r="C129" s="842"/>
      <c r="D129" s="843"/>
      <c r="E129" s="843"/>
      <c r="F129" s="843"/>
      <c r="G129" s="843"/>
      <c r="H129" s="843"/>
      <c r="I129" s="843"/>
      <c r="J129" s="843"/>
      <c r="K129" s="843"/>
      <c r="L129" s="843"/>
      <c r="M129" s="843"/>
      <c r="N129" s="843"/>
      <c r="O129" s="843"/>
      <c r="P129" s="843"/>
      <c r="Q129" s="843"/>
      <c r="R129" s="843"/>
      <c r="S129" s="843"/>
      <c r="T129" s="843"/>
      <c r="U129" s="843"/>
      <c r="V129" s="843"/>
      <c r="W129" s="843"/>
      <c r="X129" s="843"/>
      <c r="Y129" s="843"/>
      <c r="Z129" s="843"/>
    </row>
    <row r="130" spans="1:26" ht="15.75">
      <c r="A130" s="842"/>
      <c r="B130" s="842"/>
      <c r="C130" s="842"/>
      <c r="D130" s="843"/>
      <c r="E130" s="843"/>
      <c r="F130" s="843"/>
      <c r="G130" s="843"/>
      <c r="H130" s="843"/>
      <c r="I130" s="843"/>
      <c r="J130" s="843"/>
      <c r="K130" s="843"/>
      <c r="L130" s="843"/>
      <c r="M130" s="843"/>
      <c r="N130" s="843"/>
      <c r="O130" s="843"/>
      <c r="P130" s="843"/>
      <c r="Q130" s="843"/>
      <c r="R130" s="843"/>
      <c r="S130" s="843"/>
      <c r="T130" s="843"/>
      <c r="U130" s="843"/>
      <c r="V130" s="843"/>
      <c r="W130" s="843"/>
      <c r="X130" s="843"/>
      <c r="Y130" s="843"/>
      <c r="Z130" s="843"/>
    </row>
    <row r="131" spans="1:26" ht="15.75">
      <c r="A131" s="842"/>
      <c r="B131" s="842"/>
      <c r="C131" s="842"/>
      <c r="D131" s="843"/>
      <c r="E131" s="843"/>
      <c r="F131" s="843"/>
      <c r="G131" s="843"/>
      <c r="H131" s="843"/>
      <c r="I131" s="843"/>
      <c r="J131" s="843"/>
      <c r="K131" s="843"/>
      <c r="L131" s="843"/>
      <c r="M131" s="843"/>
      <c r="N131" s="843"/>
      <c r="O131" s="843"/>
      <c r="P131" s="843"/>
      <c r="Q131" s="843"/>
      <c r="R131" s="843"/>
      <c r="S131" s="843"/>
      <c r="T131" s="843"/>
      <c r="U131" s="843"/>
      <c r="V131" s="843"/>
      <c r="W131" s="843"/>
      <c r="X131" s="843"/>
      <c r="Y131" s="843"/>
      <c r="Z131" s="843"/>
    </row>
    <row r="132" spans="1:26" ht="15.75">
      <c r="A132" s="842"/>
      <c r="B132" s="842"/>
      <c r="C132" s="842"/>
      <c r="D132" s="843"/>
      <c r="E132" s="843"/>
      <c r="F132" s="843"/>
      <c r="G132" s="843"/>
      <c r="H132" s="843"/>
      <c r="I132" s="843"/>
      <c r="J132" s="843"/>
      <c r="K132" s="843"/>
      <c r="L132" s="843"/>
      <c r="M132" s="843"/>
      <c r="N132" s="843"/>
      <c r="O132" s="843"/>
      <c r="P132" s="843"/>
      <c r="Q132" s="843"/>
      <c r="R132" s="843"/>
      <c r="S132" s="843"/>
      <c r="T132" s="843"/>
      <c r="U132" s="843"/>
      <c r="V132" s="843"/>
      <c r="W132" s="843"/>
      <c r="X132" s="843"/>
      <c r="Y132" s="843"/>
      <c r="Z132" s="843"/>
    </row>
    <row r="133" spans="1:26" ht="15.75">
      <c r="A133" s="842"/>
      <c r="B133" s="842"/>
      <c r="C133" s="842"/>
      <c r="D133" s="843"/>
      <c r="E133" s="843"/>
      <c r="F133" s="843"/>
      <c r="G133" s="843"/>
      <c r="H133" s="843"/>
      <c r="I133" s="843"/>
      <c r="J133" s="843"/>
      <c r="K133" s="843"/>
      <c r="L133" s="843"/>
      <c r="M133" s="843"/>
      <c r="N133" s="843"/>
      <c r="O133" s="843"/>
      <c r="P133" s="843"/>
      <c r="Q133" s="843"/>
      <c r="R133" s="843"/>
      <c r="S133" s="843"/>
      <c r="T133" s="843"/>
      <c r="U133" s="843"/>
      <c r="V133" s="843"/>
      <c r="W133" s="843"/>
      <c r="X133" s="843"/>
      <c r="Y133" s="843"/>
      <c r="Z133" s="843"/>
    </row>
    <row r="134" spans="1:26" ht="15.75">
      <c r="A134" s="842"/>
      <c r="B134" s="842"/>
      <c r="C134" s="842"/>
      <c r="D134" s="843"/>
      <c r="E134" s="843"/>
      <c r="F134" s="843"/>
      <c r="G134" s="843"/>
      <c r="H134" s="843"/>
      <c r="I134" s="843"/>
      <c r="J134" s="843"/>
      <c r="K134" s="843"/>
      <c r="L134" s="843"/>
      <c r="M134" s="843"/>
      <c r="N134" s="843"/>
      <c r="O134" s="843"/>
      <c r="P134" s="843"/>
      <c r="Q134" s="843"/>
      <c r="R134" s="843"/>
      <c r="S134" s="843"/>
      <c r="T134" s="843"/>
      <c r="U134" s="843"/>
      <c r="V134" s="843"/>
      <c r="W134" s="843"/>
      <c r="X134" s="843"/>
      <c r="Y134" s="843"/>
      <c r="Z134" s="843"/>
    </row>
    <row r="135" spans="1:26" ht="15.75">
      <c r="A135" s="842"/>
      <c r="B135" s="842"/>
      <c r="C135" s="842"/>
      <c r="D135" s="843"/>
      <c r="E135" s="843"/>
      <c r="F135" s="843"/>
      <c r="G135" s="843"/>
      <c r="H135" s="843"/>
      <c r="I135" s="843"/>
      <c r="J135" s="843"/>
      <c r="K135" s="843"/>
      <c r="L135" s="843"/>
      <c r="M135" s="843"/>
      <c r="N135" s="843"/>
      <c r="O135" s="843"/>
      <c r="P135" s="843"/>
      <c r="Q135" s="843"/>
      <c r="R135" s="843"/>
      <c r="S135" s="843"/>
      <c r="T135" s="843"/>
      <c r="U135" s="843"/>
      <c r="V135" s="843"/>
      <c r="W135" s="843"/>
      <c r="X135" s="843"/>
      <c r="Y135" s="843"/>
      <c r="Z135" s="843"/>
    </row>
    <row r="136" spans="1:26" ht="15.75">
      <c r="A136" s="842"/>
      <c r="B136" s="842"/>
      <c r="C136" s="842"/>
      <c r="D136" s="843"/>
      <c r="E136" s="843"/>
      <c r="F136" s="843"/>
      <c r="G136" s="843"/>
      <c r="H136" s="843"/>
      <c r="I136" s="843"/>
      <c r="J136" s="843"/>
      <c r="K136" s="843"/>
      <c r="L136" s="843"/>
      <c r="M136" s="843"/>
      <c r="N136" s="843"/>
      <c r="O136" s="843"/>
      <c r="P136" s="843"/>
      <c r="Q136" s="843"/>
      <c r="R136" s="843"/>
      <c r="S136" s="843"/>
      <c r="T136" s="843"/>
      <c r="U136" s="843"/>
      <c r="V136" s="843"/>
      <c r="W136" s="843"/>
      <c r="X136" s="843"/>
      <c r="Y136" s="843"/>
      <c r="Z136" s="843"/>
    </row>
    <row r="137" spans="1:26" ht="15.75">
      <c r="A137" s="842"/>
      <c r="B137" s="842"/>
      <c r="C137" s="842"/>
      <c r="D137" s="843"/>
      <c r="E137" s="843"/>
      <c r="F137" s="843"/>
      <c r="G137" s="843"/>
      <c r="H137" s="843"/>
      <c r="I137" s="843"/>
      <c r="J137" s="843"/>
      <c r="K137" s="843"/>
      <c r="L137" s="843"/>
      <c r="M137" s="843"/>
      <c r="N137" s="843"/>
      <c r="O137" s="843"/>
      <c r="P137" s="843"/>
      <c r="Q137" s="843"/>
      <c r="R137" s="843"/>
      <c r="S137" s="843"/>
      <c r="T137" s="843"/>
      <c r="U137" s="843"/>
      <c r="V137" s="843"/>
      <c r="W137" s="843"/>
      <c r="X137" s="843"/>
      <c r="Y137" s="843"/>
      <c r="Z137" s="843"/>
    </row>
    <row r="138" spans="1:26" ht="15.75">
      <c r="A138" s="842"/>
      <c r="B138" s="842"/>
      <c r="C138" s="842"/>
      <c r="D138" s="843"/>
      <c r="E138" s="843"/>
      <c r="F138" s="843"/>
      <c r="G138" s="843"/>
      <c r="H138" s="843"/>
      <c r="I138" s="843"/>
      <c r="J138" s="843"/>
      <c r="K138" s="843"/>
      <c r="L138" s="843"/>
      <c r="M138" s="843"/>
      <c r="N138" s="843"/>
      <c r="O138" s="843"/>
      <c r="P138" s="843"/>
      <c r="Q138" s="843"/>
      <c r="R138" s="843"/>
      <c r="S138" s="843"/>
      <c r="T138" s="843"/>
      <c r="U138" s="843"/>
      <c r="V138" s="843"/>
      <c r="W138" s="843"/>
      <c r="X138" s="843"/>
      <c r="Y138" s="843"/>
      <c r="Z138" s="843"/>
    </row>
    <row r="139" spans="1:26" ht="15.75">
      <c r="A139" s="842"/>
      <c r="B139" s="842"/>
      <c r="C139" s="842"/>
      <c r="D139" s="843"/>
      <c r="E139" s="843"/>
      <c r="F139" s="843"/>
      <c r="G139" s="843"/>
      <c r="H139" s="843"/>
      <c r="I139" s="843"/>
      <c r="J139" s="843"/>
      <c r="K139" s="843"/>
      <c r="L139" s="843"/>
      <c r="M139" s="843"/>
      <c r="N139" s="843"/>
      <c r="O139" s="843"/>
      <c r="P139" s="843"/>
      <c r="Q139" s="843"/>
      <c r="R139" s="843"/>
      <c r="S139" s="843"/>
      <c r="T139" s="843"/>
      <c r="U139" s="843"/>
      <c r="V139" s="843"/>
      <c r="W139" s="843"/>
      <c r="X139" s="843"/>
      <c r="Y139" s="843"/>
      <c r="Z139" s="843"/>
    </row>
    <row r="140" spans="1:26" ht="15.75">
      <c r="A140" s="842"/>
      <c r="B140" s="842"/>
      <c r="C140" s="842"/>
      <c r="D140" s="843"/>
      <c r="E140" s="843"/>
      <c r="F140" s="843"/>
      <c r="G140" s="843"/>
      <c r="H140" s="843"/>
      <c r="I140" s="843"/>
      <c r="J140" s="843"/>
      <c r="K140" s="843"/>
      <c r="L140" s="843"/>
      <c r="M140" s="843"/>
      <c r="N140" s="843"/>
      <c r="O140" s="843"/>
      <c r="P140" s="843"/>
      <c r="Q140" s="843"/>
      <c r="R140" s="843"/>
      <c r="S140" s="843"/>
      <c r="T140" s="843"/>
      <c r="U140" s="843"/>
      <c r="V140" s="843"/>
      <c r="W140" s="843"/>
      <c r="X140" s="843"/>
      <c r="Y140" s="843"/>
      <c r="Z140" s="843"/>
    </row>
    <row r="141" spans="1:26" ht="15.75">
      <c r="A141" s="842"/>
      <c r="B141" s="842"/>
      <c r="C141" s="842"/>
      <c r="D141" s="843"/>
      <c r="E141" s="843"/>
      <c r="F141" s="843"/>
      <c r="G141" s="843"/>
      <c r="H141" s="843"/>
      <c r="I141" s="843"/>
      <c r="J141" s="843"/>
      <c r="K141" s="843"/>
      <c r="L141" s="843"/>
      <c r="M141" s="843"/>
      <c r="N141" s="843"/>
      <c r="O141" s="843"/>
      <c r="P141" s="843"/>
      <c r="Q141" s="843"/>
      <c r="R141" s="843"/>
      <c r="S141" s="843"/>
      <c r="T141" s="843"/>
      <c r="U141" s="843"/>
      <c r="V141" s="843"/>
      <c r="W141" s="843"/>
      <c r="X141" s="843"/>
      <c r="Y141" s="843"/>
      <c r="Z141" s="843"/>
    </row>
    <row r="142" spans="1:26" ht="15.75">
      <c r="A142" s="842"/>
      <c r="B142" s="842"/>
      <c r="C142" s="842"/>
      <c r="D142" s="843"/>
      <c r="E142" s="843"/>
      <c r="F142" s="843"/>
      <c r="G142" s="843"/>
      <c r="H142" s="843"/>
      <c r="I142" s="843"/>
      <c r="J142" s="843"/>
      <c r="K142" s="843"/>
      <c r="L142" s="843"/>
      <c r="M142" s="843"/>
      <c r="N142" s="843"/>
      <c r="O142" s="843"/>
      <c r="P142" s="843"/>
      <c r="Q142" s="843"/>
      <c r="R142" s="843"/>
      <c r="S142" s="843"/>
      <c r="T142" s="843"/>
      <c r="U142" s="843"/>
      <c r="V142" s="843"/>
      <c r="W142" s="843"/>
      <c r="X142" s="843"/>
      <c r="Y142" s="843"/>
      <c r="Z142" s="843"/>
    </row>
    <row r="143" spans="1:26" ht="15.75">
      <c r="A143" s="842"/>
      <c r="B143" s="842"/>
      <c r="C143" s="842"/>
      <c r="D143" s="843"/>
      <c r="E143" s="843"/>
      <c r="F143" s="843"/>
      <c r="G143" s="843"/>
      <c r="H143" s="843"/>
      <c r="I143" s="843"/>
      <c r="J143" s="843"/>
      <c r="K143" s="843"/>
      <c r="L143" s="843"/>
      <c r="M143" s="843"/>
      <c r="N143" s="843"/>
      <c r="O143" s="843"/>
      <c r="P143" s="843"/>
      <c r="Q143" s="843"/>
      <c r="R143" s="843"/>
      <c r="S143" s="843"/>
      <c r="T143" s="843"/>
      <c r="U143" s="843"/>
      <c r="V143" s="843"/>
      <c r="W143" s="843"/>
      <c r="X143" s="843"/>
      <c r="Y143" s="843"/>
      <c r="Z143" s="843"/>
    </row>
    <row r="144" spans="1:26" ht="15.75">
      <c r="A144" s="842"/>
      <c r="B144" s="842"/>
      <c r="C144" s="842"/>
      <c r="D144" s="843"/>
      <c r="E144" s="843"/>
      <c r="F144" s="843"/>
      <c r="G144" s="843"/>
      <c r="H144" s="843"/>
      <c r="I144" s="843"/>
      <c r="J144" s="843"/>
      <c r="K144" s="843"/>
      <c r="L144" s="843"/>
      <c r="M144" s="843"/>
      <c r="N144" s="843"/>
      <c r="O144" s="843"/>
      <c r="P144" s="843"/>
      <c r="Q144" s="843"/>
      <c r="R144" s="843"/>
      <c r="S144" s="843"/>
      <c r="T144" s="843"/>
      <c r="U144" s="843"/>
      <c r="V144" s="843"/>
      <c r="W144" s="843"/>
      <c r="X144" s="843"/>
      <c r="Y144" s="843"/>
      <c r="Z144" s="843"/>
    </row>
    <row r="145" spans="1:26" ht="15.75">
      <c r="A145" s="842"/>
      <c r="B145" s="842"/>
      <c r="C145" s="842"/>
      <c r="D145" s="843"/>
      <c r="E145" s="843"/>
      <c r="F145" s="843"/>
      <c r="G145" s="843"/>
      <c r="H145" s="843"/>
      <c r="I145" s="843"/>
      <c r="J145" s="843"/>
      <c r="K145" s="843"/>
      <c r="L145" s="843"/>
      <c r="M145" s="843"/>
      <c r="N145" s="843"/>
      <c r="O145" s="843"/>
      <c r="P145" s="843"/>
      <c r="Q145" s="843"/>
      <c r="R145" s="843"/>
      <c r="S145" s="843"/>
      <c r="T145" s="843"/>
      <c r="U145" s="843"/>
      <c r="V145" s="843"/>
      <c r="W145" s="843"/>
      <c r="X145" s="843"/>
      <c r="Y145" s="843"/>
      <c r="Z145" s="843"/>
    </row>
    <row r="146" spans="1:26" ht="15.75">
      <c r="A146" s="842"/>
      <c r="B146" s="842"/>
      <c r="C146" s="842"/>
      <c r="D146" s="843"/>
      <c r="E146" s="843"/>
      <c r="F146" s="843"/>
      <c r="G146" s="843"/>
      <c r="H146" s="843"/>
      <c r="I146" s="843"/>
      <c r="J146" s="843"/>
      <c r="K146" s="843"/>
      <c r="L146" s="843"/>
      <c r="M146" s="843"/>
      <c r="N146" s="843"/>
      <c r="O146" s="843"/>
      <c r="P146" s="843"/>
      <c r="Q146" s="843"/>
      <c r="R146" s="843"/>
      <c r="S146" s="843"/>
      <c r="T146" s="843"/>
      <c r="U146" s="843"/>
      <c r="V146" s="843"/>
      <c r="W146" s="843"/>
      <c r="X146" s="843"/>
      <c r="Y146" s="843"/>
      <c r="Z146" s="843"/>
    </row>
    <row r="147" spans="1:26" ht="15.75">
      <c r="A147" s="842"/>
      <c r="B147" s="842"/>
      <c r="C147" s="842"/>
      <c r="D147" s="843"/>
      <c r="E147" s="843"/>
      <c r="F147" s="843"/>
      <c r="G147" s="843"/>
      <c r="H147" s="843"/>
      <c r="I147" s="843"/>
      <c r="J147" s="843"/>
      <c r="K147" s="843"/>
      <c r="L147" s="843"/>
      <c r="M147" s="843"/>
      <c r="N147" s="843"/>
      <c r="O147" s="843"/>
      <c r="P147" s="843"/>
      <c r="Q147" s="843"/>
      <c r="R147" s="843"/>
      <c r="S147" s="843"/>
      <c r="T147" s="843"/>
      <c r="U147" s="843"/>
      <c r="V147" s="843"/>
      <c r="W147" s="843"/>
      <c r="X147" s="843"/>
      <c r="Y147" s="843"/>
      <c r="Z147" s="843"/>
    </row>
    <row r="148" spans="1:26" ht="15.75">
      <c r="A148" s="842"/>
      <c r="B148" s="842"/>
      <c r="C148" s="842"/>
      <c r="D148" s="843"/>
      <c r="E148" s="843"/>
      <c r="F148" s="843"/>
      <c r="G148" s="843"/>
      <c r="H148" s="843"/>
      <c r="I148" s="843"/>
      <c r="J148" s="843"/>
      <c r="K148" s="843"/>
      <c r="L148" s="843"/>
      <c r="M148" s="843"/>
      <c r="N148" s="843"/>
      <c r="O148" s="843"/>
      <c r="P148" s="843"/>
      <c r="Q148" s="843"/>
      <c r="R148" s="843"/>
      <c r="S148" s="843"/>
      <c r="T148" s="843"/>
      <c r="U148" s="843"/>
      <c r="V148" s="843"/>
      <c r="W148" s="843"/>
      <c r="X148" s="843"/>
      <c r="Y148" s="843"/>
      <c r="Z148" s="843"/>
    </row>
    <row r="149" spans="1:26" ht="15.75">
      <c r="A149" s="842"/>
      <c r="B149" s="842"/>
      <c r="C149" s="842"/>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row>
    <row r="150" spans="1:26" ht="15.75">
      <c r="A150" s="842"/>
      <c r="B150" s="842"/>
      <c r="C150" s="842"/>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843"/>
      <c r="Z150" s="843"/>
    </row>
    <row r="151" spans="1:26" ht="15.75">
      <c r="A151" s="842"/>
      <c r="B151" s="842"/>
      <c r="C151" s="842"/>
      <c r="D151" s="843"/>
      <c r="E151" s="843"/>
      <c r="F151" s="843"/>
      <c r="G151" s="843"/>
      <c r="H151" s="843"/>
      <c r="I151" s="843"/>
      <c r="J151" s="843"/>
      <c r="K151" s="843"/>
      <c r="L151" s="843"/>
      <c r="M151" s="843"/>
      <c r="N151" s="843"/>
      <c r="O151" s="843"/>
      <c r="P151" s="843"/>
      <c r="Q151" s="843"/>
      <c r="R151" s="843"/>
      <c r="S151" s="843"/>
      <c r="T151" s="843"/>
      <c r="U151" s="843"/>
      <c r="V151" s="843"/>
      <c r="W151" s="843"/>
      <c r="X151" s="843"/>
      <c r="Y151" s="843"/>
      <c r="Z151" s="843"/>
    </row>
    <row r="152" spans="1:26" ht="15.75">
      <c r="A152" s="842"/>
      <c r="B152" s="842"/>
      <c r="C152" s="842"/>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843"/>
      <c r="Z152" s="843"/>
    </row>
    <row r="153" spans="1:26" ht="15.75">
      <c r="A153" s="842"/>
      <c r="B153" s="842"/>
      <c r="C153" s="842"/>
      <c r="D153" s="843"/>
      <c r="E153" s="843"/>
      <c r="F153" s="843"/>
      <c r="G153" s="843"/>
      <c r="H153" s="843"/>
      <c r="I153" s="843"/>
      <c r="J153" s="843"/>
      <c r="K153" s="843"/>
      <c r="L153" s="843"/>
      <c r="M153" s="843"/>
      <c r="N153" s="843"/>
      <c r="O153" s="843"/>
      <c r="P153" s="843"/>
      <c r="Q153" s="843"/>
      <c r="R153" s="843"/>
      <c r="S153" s="843"/>
      <c r="T153" s="843"/>
      <c r="U153" s="843"/>
      <c r="V153" s="843"/>
      <c r="W153" s="843"/>
      <c r="X153" s="843"/>
      <c r="Y153" s="843"/>
      <c r="Z153" s="843"/>
    </row>
    <row r="154" spans="1:26" ht="15.75">
      <c r="A154" s="842"/>
      <c r="B154" s="842"/>
      <c r="C154" s="842"/>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843"/>
      <c r="Z154" s="843"/>
    </row>
    <row r="155" spans="1:26" ht="15.75">
      <c r="A155" s="842"/>
      <c r="B155" s="842"/>
      <c r="C155" s="842"/>
      <c r="D155" s="843"/>
      <c r="E155" s="843"/>
      <c r="F155" s="843"/>
      <c r="G155" s="843"/>
      <c r="H155" s="843"/>
      <c r="I155" s="843"/>
      <c r="J155" s="843"/>
      <c r="K155" s="843"/>
      <c r="L155" s="843"/>
      <c r="M155" s="843"/>
      <c r="N155" s="843"/>
      <c r="O155" s="843"/>
      <c r="P155" s="843"/>
      <c r="Q155" s="843"/>
      <c r="R155" s="843"/>
      <c r="S155" s="843"/>
      <c r="T155" s="843"/>
      <c r="U155" s="843"/>
      <c r="V155" s="843"/>
      <c r="W155" s="843"/>
      <c r="X155" s="843"/>
      <c r="Y155" s="843"/>
      <c r="Z155" s="843"/>
    </row>
    <row r="156" spans="1:26" ht="15.75">
      <c r="A156" s="842"/>
      <c r="B156" s="842"/>
      <c r="C156" s="842"/>
      <c r="D156" s="843"/>
      <c r="E156" s="843"/>
      <c r="F156" s="843"/>
      <c r="G156" s="843"/>
      <c r="H156" s="843"/>
      <c r="I156" s="843"/>
      <c r="J156" s="843"/>
      <c r="K156" s="843"/>
      <c r="L156" s="843"/>
      <c r="M156" s="843"/>
      <c r="N156" s="843"/>
      <c r="O156" s="843"/>
      <c r="P156" s="843"/>
      <c r="Q156" s="843"/>
      <c r="R156" s="843"/>
      <c r="S156" s="843"/>
      <c r="T156" s="843"/>
      <c r="U156" s="843"/>
      <c r="V156" s="843"/>
      <c r="W156" s="843"/>
      <c r="X156" s="843"/>
      <c r="Y156" s="843"/>
      <c r="Z156" s="843"/>
    </row>
    <row r="157" spans="1:26" ht="15.75">
      <c r="A157" s="842"/>
      <c r="B157" s="842"/>
      <c r="C157" s="842"/>
      <c r="D157" s="843"/>
      <c r="E157" s="843"/>
      <c r="F157" s="843"/>
      <c r="G157" s="843"/>
      <c r="H157" s="843"/>
      <c r="I157" s="843"/>
      <c r="J157" s="843"/>
      <c r="K157" s="843"/>
      <c r="L157" s="843"/>
      <c r="M157" s="843"/>
      <c r="N157" s="843"/>
      <c r="O157" s="843"/>
      <c r="P157" s="843"/>
      <c r="Q157" s="843"/>
      <c r="R157" s="843"/>
      <c r="S157" s="843"/>
      <c r="T157" s="843"/>
      <c r="U157" s="843"/>
      <c r="V157" s="843"/>
      <c r="W157" s="843"/>
      <c r="X157" s="843"/>
      <c r="Y157" s="843"/>
      <c r="Z157" s="843"/>
    </row>
    <row r="158" spans="1:26" ht="15.75">
      <c r="A158" s="842"/>
      <c r="B158" s="842"/>
      <c r="C158" s="842"/>
      <c r="D158" s="843"/>
      <c r="E158" s="843"/>
      <c r="F158" s="843"/>
      <c r="G158" s="843"/>
      <c r="H158" s="843"/>
      <c r="I158" s="843"/>
      <c r="J158" s="843"/>
      <c r="K158" s="843"/>
      <c r="L158" s="843"/>
      <c r="M158" s="843"/>
      <c r="N158" s="843"/>
      <c r="O158" s="843"/>
      <c r="P158" s="843"/>
      <c r="Q158" s="843"/>
      <c r="R158" s="843"/>
      <c r="S158" s="843"/>
      <c r="T158" s="843"/>
      <c r="U158" s="843"/>
      <c r="V158" s="843"/>
      <c r="W158" s="843"/>
      <c r="X158" s="843"/>
      <c r="Y158" s="843"/>
      <c r="Z158" s="843"/>
    </row>
    <row r="159" spans="1:26" ht="15.75">
      <c r="A159" s="842"/>
      <c r="B159" s="842"/>
      <c r="C159" s="842"/>
      <c r="D159" s="843"/>
      <c r="E159" s="843"/>
      <c r="F159" s="843"/>
      <c r="G159" s="843"/>
      <c r="H159" s="843"/>
      <c r="I159" s="843"/>
      <c r="J159" s="843"/>
      <c r="K159" s="843"/>
      <c r="L159" s="843"/>
      <c r="M159" s="843"/>
      <c r="N159" s="843"/>
      <c r="O159" s="843"/>
      <c r="P159" s="843"/>
      <c r="Q159" s="843"/>
      <c r="R159" s="843"/>
      <c r="S159" s="843"/>
      <c r="T159" s="843"/>
      <c r="U159" s="843"/>
      <c r="V159" s="843"/>
      <c r="W159" s="843"/>
      <c r="X159" s="843"/>
      <c r="Y159" s="843"/>
      <c r="Z159" s="843"/>
    </row>
    <row r="160" spans="1:26" ht="15.75">
      <c r="A160" s="842"/>
      <c r="B160" s="842"/>
      <c r="C160" s="842"/>
      <c r="D160" s="843"/>
      <c r="E160" s="843"/>
      <c r="F160" s="843"/>
      <c r="G160" s="843"/>
      <c r="H160" s="843"/>
      <c r="I160" s="843"/>
      <c r="J160" s="843"/>
      <c r="K160" s="843"/>
      <c r="L160" s="843"/>
      <c r="M160" s="843"/>
      <c r="N160" s="843"/>
      <c r="O160" s="843"/>
      <c r="P160" s="843"/>
      <c r="Q160" s="843"/>
      <c r="R160" s="843"/>
      <c r="S160" s="843"/>
      <c r="T160" s="843"/>
      <c r="U160" s="843"/>
      <c r="V160" s="843"/>
      <c r="W160" s="843"/>
      <c r="X160" s="843"/>
      <c r="Y160" s="843"/>
      <c r="Z160" s="843"/>
    </row>
    <row r="161" spans="1:26" ht="15.75">
      <c r="A161" s="842"/>
      <c r="B161" s="842"/>
      <c r="C161" s="842"/>
      <c r="D161" s="843"/>
      <c r="E161" s="843"/>
      <c r="F161" s="843"/>
      <c r="G161" s="843"/>
      <c r="H161" s="843"/>
      <c r="I161" s="843"/>
      <c r="J161" s="843"/>
      <c r="K161" s="843"/>
      <c r="L161" s="843"/>
      <c r="M161" s="843"/>
      <c r="N161" s="843"/>
      <c r="O161" s="843"/>
      <c r="P161" s="843"/>
      <c r="Q161" s="843"/>
      <c r="R161" s="843"/>
      <c r="S161" s="843"/>
      <c r="T161" s="843"/>
      <c r="U161" s="843"/>
      <c r="V161" s="843"/>
      <c r="W161" s="843"/>
      <c r="X161" s="843"/>
      <c r="Y161" s="843"/>
      <c r="Z161" s="843"/>
    </row>
    <row r="162" spans="1:26" ht="15.75">
      <c r="A162" s="842"/>
      <c r="B162" s="842"/>
      <c r="C162" s="842"/>
      <c r="D162" s="843"/>
      <c r="E162" s="843"/>
      <c r="F162" s="843"/>
      <c r="G162" s="843"/>
      <c r="H162" s="843"/>
      <c r="I162" s="843"/>
      <c r="J162" s="843"/>
      <c r="K162" s="843"/>
      <c r="L162" s="843"/>
      <c r="M162" s="843"/>
      <c r="N162" s="843"/>
      <c r="O162" s="843"/>
      <c r="P162" s="843"/>
      <c r="Q162" s="843"/>
      <c r="R162" s="843"/>
      <c r="S162" s="843"/>
      <c r="T162" s="843"/>
      <c r="U162" s="843"/>
      <c r="V162" s="843"/>
      <c r="W162" s="843"/>
      <c r="X162" s="843"/>
      <c r="Y162" s="843"/>
      <c r="Z162" s="843"/>
    </row>
    <row r="163" spans="1:26" ht="15.75">
      <c r="A163" s="842"/>
      <c r="B163" s="842"/>
      <c r="C163" s="842"/>
      <c r="D163" s="843"/>
      <c r="E163" s="843"/>
      <c r="F163" s="843"/>
      <c r="G163" s="843"/>
      <c r="H163" s="843"/>
      <c r="I163" s="843"/>
      <c r="J163" s="843"/>
      <c r="K163" s="843"/>
      <c r="L163" s="843"/>
      <c r="M163" s="843"/>
      <c r="N163" s="843"/>
      <c r="O163" s="843"/>
      <c r="P163" s="843"/>
      <c r="Q163" s="843"/>
      <c r="R163" s="843"/>
      <c r="S163" s="843"/>
      <c r="T163" s="843"/>
      <c r="U163" s="843"/>
      <c r="V163" s="843"/>
      <c r="W163" s="843"/>
      <c r="X163" s="843"/>
      <c r="Y163" s="843"/>
      <c r="Z163" s="843"/>
    </row>
    <row r="164" spans="1:26" ht="15.75">
      <c r="A164" s="842"/>
      <c r="B164" s="842"/>
      <c r="C164" s="842"/>
      <c r="D164" s="843"/>
      <c r="E164" s="843"/>
      <c r="F164" s="843"/>
      <c r="G164" s="843"/>
      <c r="H164" s="843"/>
      <c r="I164" s="843"/>
      <c r="J164" s="843"/>
      <c r="K164" s="843"/>
      <c r="L164" s="843"/>
      <c r="M164" s="843"/>
      <c r="N164" s="843"/>
      <c r="O164" s="843"/>
      <c r="P164" s="843"/>
      <c r="Q164" s="843"/>
      <c r="R164" s="843"/>
      <c r="S164" s="843"/>
      <c r="T164" s="843"/>
      <c r="U164" s="843"/>
      <c r="V164" s="843"/>
      <c r="W164" s="843"/>
      <c r="X164" s="843"/>
      <c r="Y164" s="843"/>
      <c r="Z164" s="843"/>
    </row>
  </sheetData>
  <pageMargins left="0.7" right="0.7" top="0.75" bottom="0.75" header="0.3" footer="0.3"/>
  <pageSetup scale="3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Y167"/>
  <sheetViews>
    <sheetView topLeftCell="A29" workbookViewId="0">
      <selection activeCell="A60" sqref="A60:XFD61"/>
    </sheetView>
  </sheetViews>
  <sheetFormatPr defaultRowHeight="15"/>
  <cols>
    <col min="1" max="1" width="4.85546875" bestFit="1" customWidth="1"/>
    <col min="2" max="2" width="36.85546875" customWidth="1"/>
    <col min="3" max="3" width="17" customWidth="1"/>
    <col min="4" max="4" width="12.42578125" bestFit="1" customWidth="1"/>
    <col min="5" max="5" width="13.7109375" customWidth="1"/>
    <col min="6" max="6" width="15.28515625" bestFit="1" customWidth="1"/>
    <col min="7" max="7" width="13.7109375" customWidth="1"/>
    <col min="8" max="8" width="19.85546875" bestFit="1" customWidth="1"/>
    <col min="9" max="9" width="18.5703125" customWidth="1"/>
    <col min="10" max="10" width="15.42578125" customWidth="1"/>
    <col min="11" max="11" width="13.7109375" customWidth="1"/>
    <col min="12" max="12" width="15.28515625" bestFit="1" customWidth="1"/>
    <col min="13" max="14" width="13.7109375" customWidth="1"/>
    <col min="15" max="15" width="15.28515625" bestFit="1" customWidth="1"/>
    <col min="16" max="16" width="13.7109375" customWidth="1"/>
    <col min="17" max="18" width="15.42578125" bestFit="1" customWidth="1"/>
    <col min="19" max="19" width="14.85546875" bestFit="1" customWidth="1"/>
    <col min="20" max="20" width="18.85546875" customWidth="1"/>
    <col min="21" max="21" width="3" customWidth="1"/>
    <col min="23" max="23" width="10" bestFit="1" customWidth="1"/>
    <col min="24" max="25" width="9.7109375" bestFit="1" customWidth="1"/>
  </cols>
  <sheetData>
    <row r="1" spans="1:19">
      <c r="A1" s="289" t="s">
        <v>2</v>
      </c>
      <c r="B1" s="844"/>
      <c r="C1" s="844"/>
      <c r="D1" s="844"/>
      <c r="E1" s="844"/>
      <c r="F1" s="844"/>
      <c r="G1" s="844"/>
      <c r="H1" s="844"/>
      <c r="I1" s="844"/>
      <c r="J1" s="844"/>
      <c r="K1" s="844"/>
      <c r="L1" s="844"/>
      <c r="M1" s="845"/>
      <c r="N1" s="844"/>
      <c r="O1" s="844"/>
      <c r="P1" s="844"/>
      <c r="Q1" s="844"/>
      <c r="R1" s="844"/>
      <c r="S1" s="844"/>
    </row>
    <row r="2" spans="1:19" ht="18">
      <c r="A2" s="289" t="s">
        <v>994</v>
      </c>
      <c r="B2" s="844"/>
      <c r="C2" s="844"/>
      <c r="D2" s="1"/>
      <c r="E2" s="1"/>
      <c r="F2" s="1"/>
      <c r="G2" s="1"/>
      <c r="H2" s="1"/>
      <c r="I2" s="1"/>
      <c r="J2" s="1"/>
      <c r="K2" s="1"/>
      <c r="L2" s="1"/>
      <c r="M2" s="1"/>
      <c r="N2" s="1"/>
      <c r="O2" s="1"/>
      <c r="P2" s="1"/>
      <c r="Q2" s="1"/>
      <c r="R2" s="1"/>
      <c r="S2" s="1"/>
    </row>
    <row r="3" spans="1:19">
      <c r="A3" s="846"/>
      <c r="B3" s="847"/>
      <c r="D3" s="846"/>
      <c r="E3" s="846"/>
      <c r="M3" s="848"/>
    </row>
    <row r="4" spans="1:19">
      <c r="A4" s="846" t="s">
        <v>283</v>
      </c>
      <c r="B4" s="847"/>
      <c r="D4" s="846"/>
      <c r="E4" s="846"/>
      <c r="M4" s="848"/>
    </row>
    <row r="5" spans="1:19">
      <c r="A5" s="846">
        <v>1</v>
      </c>
      <c r="B5" s="847"/>
      <c r="C5" t="s">
        <v>995</v>
      </c>
      <c r="D5" s="846"/>
      <c r="E5" s="846"/>
      <c r="M5" s="848"/>
    </row>
    <row r="6" spans="1:19">
      <c r="A6" s="846"/>
      <c r="B6" s="847"/>
      <c r="D6" s="846"/>
      <c r="E6" s="846"/>
      <c r="M6" s="848"/>
    </row>
    <row r="7" spans="1:19">
      <c r="A7" s="846">
        <v>2</v>
      </c>
      <c r="B7" s="847"/>
      <c r="C7" s="849" t="s">
        <v>996</v>
      </c>
      <c r="D7" s="846"/>
      <c r="E7" s="846"/>
      <c r="M7" s="848"/>
    </row>
    <row r="8" spans="1:19">
      <c r="A8" s="846"/>
      <c r="B8" s="847"/>
      <c r="C8" s="850"/>
      <c r="D8" s="846" t="s">
        <v>997</v>
      </c>
      <c r="E8" s="846"/>
      <c r="M8" s="848"/>
    </row>
    <row r="9" spans="1:19">
      <c r="A9" s="846">
        <v>3</v>
      </c>
      <c r="B9" s="847"/>
      <c r="C9" s="846" t="s">
        <v>230</v>
      </c>
      <c r="D9" s="846">
        <f>+'Appendix A'!A275</f>
        <v>157</v>
      </c>
      <c r="E9" s="846"/>
      <c r="F9" s="847" t="str">
        <f>'Appendix A'!C275</f>
        <v>Net Plant Carrying Charge without Depreciation</v>
      </c>
      <c r="M9" s="851">
        <f>+'Appendix A'!$H$275</f>
        <v>9.6216056220695442E-2</v>
      </c>
    </row>
    <row r="10" spans="1:19">
      <c r="A10" s="846">
        <v>4</v>
      </c>
      <c r="B10" s="847"/>
      <c r="C10" s="846" t="s">
        <v>233</v>
      </c>
      <c r="D10" s="846">
        <f>+'Appendix A'!A284</f>
        <v>164</v>
      </c>
      <c r="E10" s="846"/>
      <c r="F10" s="847" t="str">
        <f>+'Appendix A'!C284</f>
        <v>Net Plant Carrying Charge per 100 Basis Point in ROE without Depreciation</v>
      </c>
      <c r="M10" s="852">
        <f>+'Appendix A'!$H$284</f>
        <v>0.10107513901515496</v>
      </c>
    </row>
    <row r="11" spans="1:19">
      <c r="A11" s="846">
        <v>5</v>
      </c>
      <c r="B11" s="846"/>
      <c r="C11" s="846" t="s">
        <v>235</v>
      </c>
      <c r="D11" s="846"/>
      <c r="E11" s="846"/>
      <c r="F11" t="s">
        <v>998</v>
      </c>
      <c r="M11" s="851">
        <f>+M10-M9</f>
        <v>4.8590827944595127E-3</v>
      </c>
    </row>
    <row r="12" spans="1:19">
      <c r="B12" s="846"/>
      <c r="D12" s="846"/>
      <c r="E12" s="846"/>
      <c r="M12" s="851"/>
    </row>
    <row r="13" spans="1:19">
      <c r="A13" s="846">
        <v>6</v>
      </c>
      <c r="B13" s="846"/>
      <c r="C13" s="850" t="s">
        <v>999</v>
      </c>
      <c r="D13" s="846"/>
      <c r="E13" s="846"/>
      <c r="M13" s="851"/>
    </row>
    <row r="14" spans="1:19">
      <c r="A14" s="846">
        <v>7</v>
      </c>
      <c r="B14" s="847"/>
      <c r="C14" s="846" t="s">
        <v>236</v>
      </c>
      <c r="D14" s="846">
        <f>+'Appendix A'!A276</f>
        <v>158</v>
      </c>
      <c r="E14" s="846"/>
      <c r="F14" s="847" t="str">
        <f>+'Appendix A'!C276</f>
        <v>Net Plant Carrying Charge without Depreciation, Return, nor Income Taxes</v>
      </c>
      <c r="M14" s="851">
        <f>+'Appendix A'!$H$276</f>
        <v>2.3864815767329284E-2</v>
      </c>
    </row>
    <row r="15" spans="1:19">
      <c r="A15" s="846"/>
      <c r="B15" s="847"/>
      <c r="C15" s="494"/>
      <c r="D15" s="846"/>
      <c r="E15" s="846"/>
      <c r="M15" s="848"/>
    </row>
    <row r="16" spans="1:19">
      <c r="A16" s="846"/>
      <c r="B16" s="847"/>
      <c r="C16" s="853" t="s">
        <v>1000</v>
      </c>
      <c r="D16" s="846"/>
      <c r="E16" s="846"/>
      <c r="J16" s="848"/>
      <c r="M16" s="854"/>
      <c r="Q16" s="855"/>
    </row>
    <row r="17" spans="1:22">
      <c r="A17" s="846"/>
      <c r="B17" s="847"/>
      <c r="C17" s="856" t="s">
        <v>1001</v>
      </c>
      <c r="D17" s="846"/>
      <c r="E17" s="846"/>
      <c r="M17" s="848"/>
    </row>
    <row r="18" spans="1:22">
      <c r="A18" s="846"/>
      <c r="B18" s="847"/>
      <c r="C18" s="857" t="s">
        <v>1002</v>
      </c>
      <c r="D18" s="846"/>
      <c r="E18" s="846"/>
      <c r="M18" s="848"/>
    </row>
    <row r="19" spans="1:22" ht="15.75" thickBot="1">
      <c r="A19" s="846"/>
      <c r="B19" s="847"/>
      <c r="C19" s="100" t="s">
        <v>1003</v>
      </c>
      <c r="F19" s="858"/>
      <c r="G19" s="858"/>
      <c r="H19" s="858"/>
      <c r="I19" s="858"/>
      <c r="J19" s="858"/>
      <c r="K19" s="858"/>
      <c r="L19" s="858"/>
      <c r="M19" s="858"/>
      <c r="N19" s="858"/>
      <c r="O19" s="858"/>
      <c r="P19" s="858"/>
      <c r="Q19" s="858"/>
      <c r="R19" s="858"/>
      <c r="S19" s="858"/>
    </row>
    <row r="20" spans="1:22" ht="31.5" customHeight="1" thickBot="1">
      <c r="A20" s="846"/>
      <c r="B20" s="847"/>
      <c r="C20" s="859"/>
      <c r="D20" s="860"/>
      <c r="E20" s="1957" t="s">
        <v>1004</v>
      </c>
      <c r="F20" s="1958"/>
      <c r="G20" s="1958"/>
      <c r="H20" s="1957" t="s">
        <v>1005</v>
      </c>
      <c r="I20" s="1959"/>
      <c r="J20" s="1960"/>
      <c r="K20" s="1957" t="s">
        <v>1006</v>
      </c>
      <c r="L20" s="1959"/>
      <c r="M20" s="1960"/>
      <c r="N20" s="1961"/>
      <c r="O20" s="1958"/>
      <c r="P20" s="1958"/>
      <c r="Q20" s="861"/>
      <c r="R20" s="862"/>
      <c r="S20" s="862"/>
      <c r="T20" s="863"/>
    </row>
    <row r="21" spans="1:22">
      <c r="A21" s="846">
        <f>A14+1</f>
        <v>8</v>
      </c>
      <c r="B21" s="864" t="s">
        <v>1007</v>
      </c>
      <c r="C21" s="861" t="s">
        <v>1008</v>
      </c>
      <c r="D21" s="865"/>
      <c r="E21" s="866"/>
      <c r="F21" s="867"/>
      <c r="G21" s="868"/>
      <c r="H21" s="869">
        <v>65.5</v>
      </c>
      <c r="I21" s="870"/>
      <c r="J21" s="868"/>
      <c r="K21" s="869">
        <v>65.5</v>
      </c>
      <c r="L21" s="867"/>
      <c r="M21" s="871"/>
      <c r="N21" s="866"/>
      <c r="O21" s="867"/>
      <c r="P21" s="871"/>
      <c r="Q21" s="861"/>
      <c r="R21" s="862"/>
      <c r="S21" s="862"/>
    </row>
    <row r="22" spans="1:22" ht="60">
      <c r="A22" s="846">
        <f t="shared" ref="A22:A71" si="0">+A21+1</f>
        <v>9</v>
      </c>
      <c r="B22" s="864" t="s">
        <v>1009</v>
      </c>
      <c r="C22" s="861" t="s">
        <v>1010</v>
      </c>
      <c r="D22" s="865" t="s">
        <v>1011</v>
      </c>
      <c r="E22" s="872" t="s">
        <v>1012</v>
      </c>
      <c r="G22" s="873"/>
      <c r="H22" s="872" t="s">
        <v>1012</v>
      </c>
      <c r="I22" s="865"/>
      <c r="J22" s="874"/>
      <c r="K22" s="872" t="s">
        <v>1012</v>
      </c>
      <c r="L22" s="865"/>
      <c r="M22" s="873"/>
      <c r="N22" s="872"/>
      <c r="O22" s="865"/>
      <c r="P22" s="873"/>
      <c r="Q22" s="861"/>
      <c r="R22" s="862"/>
      <c r="S22" s="875"/>
    </row>
    <row r="23" spans="1:22">
      <c r="A23" s="846">
        <f>+A22+1</f>
        <v>10</v>
      </c>
      <c r="B23" s="864" t="s">
        <v>1013</v>
      </c>
      <c r="C23" s="861" t="s">
        <v>1014</v>
      </c>
      <c r="D23" s="865"/>
      <c r="E23" s="876">
        <v>0</v>
      </c>
      <c r="F23" s="867"/>
      <c r="G23" s="877"/>
      <c r="H23" s="878">
        <f>Inputs!$E$8</f>
        <v>50</v>
      </c>
      <c r="I23" s="879"/>
      <c r="J23" s="877"/>
      <c r="K23" s="878">
        <f>Inputs!$E$8</f>
        <v>50</v>
      </c>
      <c r="L23" s="880"/>
      <c r="M23" s="877"/>
      <c r="N23" s="872"/>
      <c r="O23" s="880"/>
      <c r="P23" s="877"/>
      <c r="Q23" s="861"/>
      <c r="R23" s="862"/>
      <c r="S23" s="881"/>
      <c r="V23" s="882" t="s">
        <v>1015</v>
      </c>
    </row>
    <row r="24" spans="1:22" ht="30">
      <c r="A24" s="846">
        <f t="shared" si="0"/>
        <v>11</v>
      </c>
      <c r="B24" s="864" t="s">
        <v>1016</v>
      </c>
      <c r="C24" s="861" t="str">
        <f>'Appendix A'!H214*100&amp;"% ROE"</f>
        <v>9.8% ROE</v>
      </c>
      <c r="D24" s="865"/>
      <c r="E24" s="883">
        <f>$M$9</f>
        <v>9.6216056220695442E-2</v>
      </c>
      <c r="G24" s="874"/>
      <c r="H24" s="883">
        <f>$M$9</f>
        <v>9.6216056220695442E-2</v>
      </c>
      <c r="I24" s="865"/>
      <c r="J24" s="874"/>
      <c r="K24" s="883">
        <f>$M$9</f>
        <v>9.6216056220695442E-2</v>
      </c>
      <c r="L24" s="862"/>
      <c r="M24" s="874"/>
      <c r="N24" s="883">
        <f>$M$9</f>
        <v>9.6216056220695442E-2</v>
      </c>
      <c r="O24" s="862"/>
      <c r="P24" s="874"/>
      <c r="Q24" s="861"/>
      <c r="R24" s="862"/>
      <c r="S24" s="884"/>
    </row>
    <row r="25" spans="1:22">
      <c r="A25" s="846">
        <f t="shared" si="0"/>
        <v>12</v>
      </c>
      <c r="B25" s="885" t="s">
        <v>1017</v>
      </c>
      <c r="C25" s="861" t="s">
        <v>1018</v>
      </c>
      <c r="D25" s="865"/>
      <c r="E25" s="883">
        <f>(E$23/100*$M$11)+E$24</f>
        <v>9.6216056220695442E-2</v>
      </c>
      <c r="G25" s="886"/>
      <c r="H25" s="883">
        <f>(H$23/100*$M$11)+H$24</f>
        <v>9.8645597617925199E-2</v>
      </c>
      <c r="I25" s="862"/>
      <c r="J25" s="886"/>
      <c r="K25" s="883">
        <f>(K$23/100*$M$11)+K$24</f>
        <v>9.8645597617925199E-2</v>
      </c>
      <c r="L25" s="887"/>
      <c r="M25" s="886"/>
      <c r="N25" s="883">
        <f>(N$23/100*$M$11)+N$24</f>
        <v>9.6216056220695442E-2</v>
      </c>
      <c r="O25" s="887"/>
      <c r="P25" s="886"/>
      <c r="Q25" s="861"/>
      <c r="R25" s="862"/>
      <c r="S25" s="888"/>
    </row>
    <row r="26" spans="1:22">
      <c r="A26" s="846">
        <f t="shared" si="0"/>
        <v>13</v>
      </c>
      <c r="B26" s="885" t="s">
        <v>1019</v>
      </c>
      <c r="C26" s="861" t="s">
        <v>1020</v>
      </c>
      <c r="D26" s="865"/>
      <c r="E26" s="889">
        <v>0</v>
      </c>
      <c r="F26" s="870"/>
      <c r="G26" s="890"/>
      <c r="H26" s="889">
        <f>'Gateway PIS Monthly'!M214</f>
        <v>4341547901.5409374</v>
      </c>
      <c r="I26" s="891"/>
      <c r="J26" s="890"/>
      <c r="K26" s="892">
        <f>'Att 6 - Est &amp; Reconcile WS'!S44-('Att 6 - Est &amp; Reconcile WS'!S63*0.5)</f>
        <v>94815182.698795989</v>
      </c>
      <c r="L26" s="870">
        <f>K36-0.5*L36</f>
        <v>0</v>
      </c>
      <c r="M26" s="890"/>
      <c r="N26" s="892">
        <v>0</v>
      </c>
      <c r="O26" s="870"/>
      <c r="P26" s="890"/>
      <c r="Q26" s="861"/>
      <c r="R26" s="862"/>
      <c r="S26" s="862"/>
    </row>
    <row r="27" spans="1:22">
      <c r="A27" s="846">
        <f t="shared" si="0"/>
        <v>14</v>
      </c>
      <c r="B27" s="885" t="s">
        <v>1021</v>
      </c>
      <c r="C27" s="861" t="s">
        <v>1022</v>
      </c>
      <c r="D27" s="865"/>
      <c r="E27" s="892">
        <f>IF(E21=0,0,E26/E21)</f>
        <v>0</v>
      </c>
      <c r="G27" s="890"/>
      <c r="H27" s="892">
        <f>IF(H26=0,0,H26/H21)</f>
        <v>66283174.069327287</v>
      </c>
      <c r="I27" s="893"/>
      <c r="J27" s="890"/>
      <c r="K27" s="892">
        <f>'Att 6 - Est &amp; Reconcile WS'!S63</f>
        <v>1480904.9377926211</v>
      </c>
      <c r="L27" s="870"/>
      <c r="M27" s="890"/>
      <c r="N27" s="892">
        <f>IF(N26=0,0,N26/N21)</f>
        <v>0</v>
      </c>
      <c r="O27" s="870"/>
      <c r="P27" s="890"/>
      <c r="Q27" s="861"/>
      <c r="R27" s="862"/>
      <c r="S27" s="862"/>
    </row>
    <row r="28" spans="1:22" ht="15.75" thickBot="1">
      <c r="A28" s="846"/>
      <c r="B28" s="864"/>
      <c r="C28" s="861"/>
      <c r="D28" s="865"/>
      <c r="E28" s="894"/>
      <c r="G28" s="895"/>
      <c r="H28" s="894"/>
      <c r="I28" s="893"/>
      <c r="J28" s="895"/>
      <c r="K28" s="894"/>
      <c r="L28" s="893"/>
      <c r="M28" s="895"/>
      <c r="N28" s="894"/>
      <c r="O28" s="893"/>
      <c r="P28" s="895"/>
      <c r="Q28" s="896"/>
      <c r="R28" s="897"/>
      <c r="S28" s="897"/>
    </row>
    <row r="29" spans="1:22" ht="39.75" thickBot="1">
      <c r="A29" s="846"/>
      <c r="B29" s="847"/>
      <c r="C29" s="898"/>
      <c r="D29" s="899" t="s">
        <v>1023</v>
      </c>
      <c r="E29" s="900" t="s">
        <v>1019</v>
      </c>
      <c r="F29" s="901" t="s">
        <v>1024</v>
      </c>
      <c r="G29" s="902" t="s">
        <v>1025</v>
      </c>
      <c r="H29" s="900" t="s">
        <v>1019</v>
      </c>
      <c r="I29" s="901" t="s">
        <v>1024</v>
      </c>
      <c r="J29" s="903" t="s">
        <v>1025</v>
      </c>
      <c r="K29" s="900" t="s">
        <v>1019</v>
      </c>
      <c r="L29" s="901" t="s">
        <v>1024</v>
      </c>
      <c r="M29" s="903" t="s">
        <v>1025</v>
      </c>
      <c r="N29" s="900" t="s">
        <v>1019</v>
      </c>
      <c r="O29" s="901" t="s">
        <v>1024</v>
      </c>
      <c r="P29" s="903" t="s">
        <v>1025</v>
      </c>
      <c r="Q29" s="899" t="s">
        <v>111</v>
      </c>
      <c r="R29" s="900" t="s">
        <v>1026</v>
      </c>
      <c r="S29" s="904" t="s">
        <v>1027</v>
      </c>
      <c r="T29" s="905" t="s">
        <v>1028</v>
      </c>
    </row>
    <row r="30" spans="1:22">
      <c r="A30" s="846">
        <f>+A27+1</f>
        <v>15</v>
      </c>
      <c r="B30" s="906" t="str">
        <f>D30&amp;C30</f>
        <v>2010W  9.8 % ROE</v>
      </c>
      <c r="C30" s="907" t="str">
        <f>"W  "&amp;'Appendix A'!H214*100&amp;" % ROE"</f>
        <v>W  9.8 % ROE</v>
      </c>
      <c r="D30" s="908">
        <v>2010</v>
      </c>
      <c r="E30" s="909">
        <f>E$26</f>
        <v>0</v>
      </c>
      <c r="F30" s="893">
        <f>+$E$27</f>
        <v>0</v>
      </c>
      <c r="G30" s="893">
        <f>+E30*E$24+F30</f>
        <v>0</v>
      </c>
      <c r="H30" s="910">
        <f>+'Gateway PIS Monthly'!M34</f>
        <v>287225424.6045447</v>
      </c>
      <c r="I30" s="911">
        <f>SUM('Gateway PIS Monthly'!J22:J34)</f>
        <v>4836782.9695761502</v>
      </c>
      <c r="J30" s="893">
        <f>+H30*H$24+I30</f>
        <v>32472480.571340144</v>
      </c>
      <c r="K30" s="909">
        <f t="shared" ref="K30:K70" si="1">$K$26*(IF($D30=data_year+1,1,0))</f>
        <v>0</v>
      </c>
      <c r="L30" s="893">
        <f t="shared" ref="L30:L70" si="2">$K$27*(IF($D30=data_year+1,1,0))</f>
        <v>0</v>
      </c>
      <c r="M30" s="893">
        <f>+K30*K$24+L30</f>
        <v>0</v>
      </c>
      <c r="N30" s="909">
        <f>+N26</f>
        <v>0</v>
      </c>
      <c r="O30" s="893">
        <f>+N$27</f>
        <v>0</v>
      </c>
      <c r="P30" s="893">
        <f>+N30*N$24+O30</f>
        <v>0</v>
      </c>
      <c r="Q30" s="912">
        <f t="shared" ref="Q30:Q69" si="3">+J30+P30+G30+M30</f>
        <v>32472480.571340144</v>
      </c>
      <c r="R30" s="861"/>
      <c r="S30" s="913">
        <f>+Q30</f>
        <v>32472480.571340144</v>
      </c>
      <c r="T30" s="907"/>
    </row>
    <row r="31" spans="1:22">
      <c r="A31" s="846">
        <f t="shared" si="0"/>
        <v>16</v>
      </c>
      <c r="B31" s="906" t="str">
        <f t="shared" ref="B31:B69" si="4">D31&amp;C31</f>
        <v>2010W Increased ROE</v>
      </c>
      <c r="C31" s="907" t="s">
        <v>1029</v>
      </c>
      <c r="D31" s="914">
        <f>D30</f>
        <v>2010</v>
      </c>
      <c r="E31" s="909">
        <f>E$26</f>
        <v>0</v>
      </c>
      <c r="F31" s="870">
        <f t="shared" ref="F31:F69" si="5">+$E$27</f>
        <v>0</v>
      </c>
      <c r="G31" s="893">
        <f>+E31*E$25+F31</f>
        <v>0</v>
      </c>
      <c r="H31" s="909">
        <f>H30</f>
        <v>287225424.6045447</v>
      </c>
      <c r="I31" s="893">
        <f>I30</f>
        <v>4836782.9695761502</v>
      </c>
      <c r="J31" s="893">
        <f>+H31*H$25+I31</f>
        <v>33170306.630753778</v>
      </c>
      <c r="K31" s="909">
        <f t="shared" si="1"/>
        <v>0</v>
      </c>
      <c r="L31" s="870">
        <f t="shared" si="2"/>
        <v>0</v>
      </c>
      <c r="M31" s="893">
        <f>+K31*K$25+L31</f>
        <v>0</v>
      </c>
      <c r="N31" s="909">
        <f>+N30</f>
        <v>0</v>
      </c>
      <c r="O31" s="870">
        <f>+O30</f>
        <v>0</v>
      </c>
      <c r="P31" s="893">
        <f>+N31*N$25+O31</f>
        <v>0</v>
      </c>
      <c r="Q31" s="912">
        <f t="shared" si="3"/>
        <v>33170306.630753778</v>
      </c>
      <c r="R31" s="915">
        <f>+Q31</f>
        <v>33170306.630753778</v>
      </c>
      <c r="S31" s="916"/>
      <c r="T31" s="917">
        <f>R31-S30</f>
        <v>697826.05941363424</v>
      </c>
    </row>
    <row r="32" spans="1:22">
      <c r="A32" s="846">
        <f t="shared" si="0"/>
        <v>17</v>
      </c>
      <c r="B32" s="906" t="str">
        <f t="shared" si="4"/>
        <v>2011W  9.8 % ROE</v>
      </c>
      <c r="C32" s="907" t="str">
        <f t="shared" ref="C32:C69" si="6">+C30</f>
        <v>W  9.8 % ROE</v>
      </c>
      <c r="D32" s="914">
        <f t="shared" ref="D32:D69" si="7">+D30+1</f>
        <v>2011</v>
      </c>
      <c r="E32" s="909">
        <f t="shared" ref="E32:E69" si="8">E$26</f>
        <v>0</v>
      </c>
      <c r="F32" s="870">
        <f t="shared" si="5"/>
        <v>0</v>
      </c>
      <c r="G32" s="893">
        <f>+E32*E$24+F32</f>
        <v>0</v>
      </c>
      <c r="H32" s="918">
        <f>+'Gateway PIS Monthly'!M46</f>
        <v>784113653.19373691</v>
      </c>
      <c r="I32" s="911">
        <f>SUM('Gateway PIS Monthly'!J35:J46)</f>
        <v>13727953.751135059</v>
      </c>
      <c r="J32" s="893">
        <f>+H32*H$24+I32</f>
        <v>89172277.090238541</v>
      </c>
      <c r="K32" s="909">
        <f t="shared" si="1"/>
        <v>0</v>
      </c>
      <c r="L32" s="888">
        <f t="shared" si="2"/>
        <v>0</v>
      </c>
      <c r="M32" s="893">
        <f>+K32*K$24+L32</f>
        <v>0</v>
      </c>
      <c r="N32" s="909">
        <f>+N$26</f>
        <v>0</v>
      </c>
      <c r="O32" s="888">
        <f>+N$27</f>
        <v>0</v>
      </c>
      <c r="P32" s="893">
        <f>+N32*N$24+O32</f>
        <v>0</v>
      </c>
      <c r="Q32" s="912">
        <f t="shared" si="3"/>
        <v>89172277.090238541</v>
      </c>
      <c r="R32" s="861"/>
      <c r="S32" s="913">
        <f>+Q32</f>
        <v>89172277.090238541</v>
      </c>
      <c r="T32" s="907"/>
    </row>
    <row r="33" spans="1:25">
      <c r="A33" s="846">
        <f t="shared" si="0"/>
        <v>18</v>
      </c>
      <c r="B33" s="906" t="str">
        <f t="shared" si="4"/>
        <v>2011W Increased ROE</v>
      </c>
      <c r="C33" s="907" t="str">
        <f t="shared" si="6"/>
        <v>W Increased ROE</v>
      </c>
      <c r="D33" s="914">
        <f t="shared" si="7"/>
        <v>2011</v>
      </c>
      <c r="E33" s="909">
        <f t="shared" si="8"/>
        <v>0</v>
      </c>
      <c r="F33" s="870">
        <f t="shared" si="5"/>
        <v>0</v>
      </c>
      <c r="G33" s="893">
        <f>+E33*E$25+F33</f>
        <v>0</v>
      </c>
      <c r="H33" s="909">
        <f>H32</f>
        <v>784113653.19373691</v>
      </c>
      <c r="I33" s="888">
        <f t="shared" ref="I33:I69" si="9">I32</f>
        <v>13727953.751135059</v>
      </c>
      <c r="J33" s="893">
        <f>+H33*H$25+I33</f>
        <v>91077313.670805782</v>
      </c>
      <c r="K33" s="909">
        <f t="shared" si="1"/>
        <v>0</v>
      </c>
      <c r="L33" s="888">
        <f t="shared" si="2"/>
        <v>0</v>
      </c>
      <c r="M33" s="893">
        <f>+K33*K$25+L33</f>
        <v>0</v>
      </c>
      <c r="N33" s="909">
        <v>0</v>
      </c>
      <c r="O33" s="888">
        <f>+O32</f>
        <v>0</v>
      </c>
      <c r="P33" s="893">
        <f>+N33*N$25+O33</f>
        <v>0</v>
      </c>
      <c r="Q33" s="912">
        <f t="shared" si="3"/>
        <v>91077313.670805782</v>
      </c>
      <c r="R33" s="915">
        <f>+Q33</f>
        <v>91077313.670805782</v>
      </c>
      <c r="S33" s="916"/>
      <c r="T33" s="917">
        <f>R33-S32</f>
        <v>1905036.5805672407</v>
      </c>
    </row>
    <row r="34" spans="1:25">
      <c r="A34" s="846">
        <f t="shared" si="0"/>
        <v>19</v>
      </c>
      <c r="B34" s="906" t="str">
        <f t="shared" si="4"/>
        <v>2012W  9.8 % ROE</v>
      </c>
      <c r="C34" s="907" t="str">
        <f t="shared" si="6"/>
        <v>W  9.8 % ROE</v>
      </c>
      <c r="D34" s="914">
        <f t="shared" si="7"/>
        <v>2012</v>
      </c>
      <c r="E34" s="909">
        <f t="shared" si="8"/>
        <v>0</v>
      </c>
      <c r="F34" s="870">
        <f t="shared" si="5"/>
        <v>0</v>
      </c>
      <c r="G34" s="893">
        <f>+E34*E$24+F34</f>
        <v>0</v>
      </c>
      <c r="H34" s="910">
        <f>+'Gateway PIS Monthly'!M58</f>
        <v>785864996.70524514</v>
      </c>
      <c r="I34" s="919">
        <f>SUM('Gateway PIS Monthly'!J47:J58)</f>
        <v>13960854.81519396</v>
      </c>
      <c r="J34" s="893">
        <f>+H34*H$24+I34</f>
        <v>89573685.520062476</v>
      </c>
      <c r="K34" s="909">
        <f t="shared" si="1"/>
        <v>0</v>
      </c>
      <c r="L34" s="888">
        <f t="shared" si="2"/>
        <v>0</v>
      </c>
      <c r="M34" s="893">
        <f>+K34*K$24+L34</f>
        <v>0</v>
      </c>
      <c r="N34" s="909">
        <v>0</v>
      </c>
      <c r="O34" s="888">
        <f t="shared" ref="O34:O70" si="10">+O33</f>
        <v>0</v>
      </c>
      <c r="P34" s="893">
        <f>+N34*N$24+O34</f>
        <v>0</v>
      </c>
      <c r="Q34" s="912">
        <f t="shared" si="3"/>
        <v>89573685.520062476</v>
      </c>
      <c r="R34" s="861"/>
      <c r="S34" s="913">
        <f>+Q34</f>
        <v>89573685.520062476</v>
      </c>
      <c r="T34" s="907"/>
    </row>
    <row r="35" spans="1:25">
      <c r="A35" s="846">
        <f t="shared" si="0"/>
        <v>20</v>
      </c>
      <c r="B35" s="906" t="str">
        <f t="shared" si="4"/>
        <v>2012W Increased ROE</v>
      </c>
      <c r="C35" s="907" t="str">
        <f t="shared" si="6"/>
        <v>W Increased ROE</v>
      </c>
      <c r="D35" s="914">
        <f t="shared" si="7"/>
        <v>2012</v>
      </c>
      <c r="E35" s="909">
        <f t="shared" si="8"/>
        <v>0</v>
      </c>
      <c r="F35" s="870">
        <f t="shared" si="5"/>
        <v>0</v>
      </c>
      <c r="G35" s="893">
        <f>+E35*E$25+F35</f>
        <v>0</v>
      </c>
      <c r="H35" s="909">
        <f>H34</f>
        <v>785864996.70524514</v>
      </c>
      <c r="I35" s="888">
        <f t="shared" si="9"/>
        <v>13960854.81519396</v>
      </c>
      <c r="J35" s="893">
        <f>+H35*H$25+I35</f>
        <v>91482977.062191695</v>
      </c>
      <c r="K35" s="909">
        <f t="shared" si="1"/>
        <v>0</v>
      </c>
      <c r="L35" s="888">
        <f t="shared" si="2"/>
        <v>0</v>
      </c>
      <c r="M35" s="893">
        <f>+K35*K$25+L35</f>
        <v>0</v>
      </c>
      <c r="N35" s="909">
        <v>0</v>
      </c>
      <c r="O35" s="888">
        <f t="shared" si="10"/>
        <v>0</v>
      </c>
      <c r="P35" s="893">
        <f>+N35*N$25+O35</f>
        <v>0</v>
      </c>
      <c r="Q35" s="912">
        <f t="shared" si="3"/>
        <v>91482977.062191695</v>
      </c>
      <c r="R35" s="915">
        <f>+Q35</f>
        <v>91482977.062191695</v>
      </c>
      <c r="S35" s="916"/>
      <c r="T35" s="917">
        <f>R35-S34</f>
        <v>1909291.5421292186</v>
      </c>
    </row>
    <row r="36" spans="1:25">
      <c r="A36" s="846">
        <f t="shared" si="0"/>
        <v>21</v>
      </c>
      <c r="B36" s="906" t="str">
        <f t="shared" si="4"/>
        <v>2013W  9.8 % ROE</v>
      </c>
      <c r="C36" s="907" t="str">
        <f t="shared" si="6"/>
        <v>W  9.8 % ROE</v>
      </c>
      <c r="D36" s="914">
        <f t="shared" si="7"/>
        <v>2013</v>
      </c>
      <c r="E36" s="909">
        <f t="shared" si="8"/>
        <v>0</v>
      </c>
      <c r="F36" s="870">
        <f t="shared" si="5"/>
        <v>0</v>
      </c>
      <c r="G36" s="893">
        <f>+E36*E$24+F36</f>
        <v>0</v>
      </c>
      <c r="H36" s="910">
        <f>+'Gateway PIS Monthly'!M70</f>
        <v>1039140448.7705153</v>
      </c>
      <c r="I36" s="919">
        <f>SUM('Gateway PIS Monthly'!J59:J70)</f>
        <v>18682868.780114934</v>
      </c>
      <c r="J36" s="893">
        <f>+H36*H$24+I36</f>
        <v>118664864.62021753</v>
      </c>
      <c r="K36" s="909">
        <f t="shared" si="1"/>
        <v>0</v>
      </c>
      <c r="L36" s="888">
        <f t="shared" si="2"/>
        <v>0</v>
      </c>
      <c r="M36" s="893">
        <f>+K36*K$24+L36</f>
        <v>0</v>
      </c>
      <c r="N36" s="909">
        <v>0</v>
      </c>
      <c r="O36" s="888">
        <f t="shared" si="10"/>
        <v>0</v>
      </c>
      <c r="P36" s="893">
        <f>+N36*N$24+O36</f>
        <v>0</v>
      </c>
      <c r="Q36" s="912">
        <f t="shared" si="3"/>
        <v>118664864.62021753</v>
      </c>
      <c r="R36" s="861"/>
      <c r="S36" s="913">
        <f>+Q36</f>
        <v>118664864.62021753</v>
      </c>
      <c r="T36" s="907"/>
    </row>
    <row r="37" spans="1:25">
      <c r="A37" s="846">
        <f t="shared" si="0"/>
        <v>22</v>
      </c>
      <c r="B37" s="906" t="str">
        <f t="shared" si="4"/>
        <v>2013W Increased ROE</v>
      </c>
      <c r="C37" s="907" t="str">
        <f t="shared" si="6"/>
        <v>W Increased ROE</v>
      </c>
      <c r="D37" s="914">
        <f t="shared" si="7"/>
        <v>2013</v>
      </c>
      <c r="E37" s="909">
        <f t="shared" si="8"/>
        <v>0</v>
      </c>
      <c r="F37" s="870">
        <f t="shared" si="5"/>
        <v>0</v>
      </c>
      <c r="G37" s="893">
        <f>+E37*E$25+F37</f>
        <v>0</v>
      </c>
      <c r="H37" s="909">
        <f>H36</f>
        <v>1039140448.7705153</v>
      </c>
      <c r="I37" s="888">
        <f t="shared" si="9"/>
        <v>18682868.780114934</v>
      </c>
      <c r="J37" s="893">
        <f>+H37*H$25+I37</f>
        <v>121189499.35804141</v>
      </c>
      <c r="K37" s="909">
        <f t="shared" si="1"/>
        <v>0</v>
      </c>
      <c r="L37" s="888">
        <f t="shared" si="2"/>
        <v>0</v>
      </c>
      <c r="M37" s="893">
        <f>+K37*K$25+L37</f>
        <v>0</v>
      </c>
      <c r="N37" s="909">
        <v>0</v>
      </c>
      <c r="O37" s="888">
        <f t="shared" si="10"/>
        <v>0</v>
      </c>
      <c r="P37" s="893">
        <f>+N37*N$25+O37</f>
        <v>0</v>
      </c>
      <c r="Q37" s="912">
        <f t="shared" si="3"/>
        <v>121189499.35804141</v>
      </c>
      <c r="R37" s="915">
        <f>+Q37</f>
        <v>121189499.35804141</v>
      </c>
      <c r="S37" s="916"/>
      <c r="T37" s="917">
        <f>R37-S36</f>
        <v>2524634.7378238738</v>
      </c>
    </row>
    <row r="38" spans="1:25">
      <c r="A38" s="846">
        <f t="shared" si="0"/>
        <v>23</v>
      </c>
      <c r="B38" s="906" t="str">
        <f t="shared" si="4"/>
        <v>2014W  9.8 % ROE</v>
      </c>
      <c r="C38" s="907" t="str">
        <f t="shared" si="6"/>
        <v>W  9.8 % ROE</v>
      </c>
      <c r="D38" s="914">
        <f t="shared" si="7"/>
        <v>2014</v>
      </c>
      <c r="E38" s="909">
        <f t="shared" si="8"/>
        <v>0</v>
      </c>
      <c r="F38" s="870">
        <f t="shared" si="5"/>
        <v>0</v>
      </c>
      <c r="G38" s="893">
        <f>+E38*E$24+F38</f>
        <v>0</v>
      </c>
      <c r="H38" s="910">
        <f>'Gateway PIS Monthly'!M82</f>
        <v>1164054967.550472</v>
      </c>
      <c r="I38" s="919">
        <f>SUM('Gateway PIS Monthly'!J71:J82)</f>
        <v>21135829.272040218</v>
      </c>
      <c r="J38" s="893">
        <f>+H38*H$24+I38</f>
        <v>133136607.47385624</v>
      </c>
      <c r="K38" s="909">
        <f t="shared" si="1"/>
        <v>0</v>
      </c>
      <c r="L38" s="888">
        <f t="shared" si="2"/>
        <v>0</v>
      </c>
      <c r="M38" s="893">
        <f>+K38*K$24+L38</f>
        <v>0</v>
      </c>
      <c r="N38" s="909">
        <v>0</v>
      </c>
      <c r="O38" s="888">
        <f t="shared" si="10"/>
        <v>0</v>
      </c>
      <c r="P38" s="893">
        <f>+N38*N$24+O38</f>
        <v>0</v>
      </c>
      <c r="Q38" s="912">
        <f t="shared" si="3"/>
        <v>133136607.47385624</v>
      </c>
      <c r="R38" s="861"/>
      <c r="S38" s="913">
        <f>+Q38</f>
        <v>133136607.47385624</v>
      </c>
      <c r="T38" s="907"/>
    </row>
    <row r="39" spans="1:25">
      <c r="A39" s="846">
        <f t="shared" si="0"/>
        <v>24</v>
      </c>
      <c r="B39" s="906" t="str">
        <f t="shared" si="4"/>
        <v>2014W Increased ROE</v>
      </c>
      <c r="C39" s="907" t="str">
        <f t="shared" si="6"/>
        <v>W Increased ROE</v>
      </c>
      <c r="D39" s="914">
        <f t="shared" si="7"/>
        <v>2014</v>
      </c>
      <c r="E39" s="909">
        <f t="shared" si="8"/>
        <v>0</v>
      </c>
      <c r="F39" s="870">
        <f t="shared" si="5"/>
        <v>0</v>
      </c>
      <c r="G39" s="893">
        <f>+E39*E$25+F39</f>
        <v>0</v>
      </c>
      <c r="H39" s="909">
        <f>H38</f>
        <v>1164054967.550472</v>
      </c>
      <c r="I39" s="888">
        <f t="shared" si="9"/>
        <v>21135829.272040218</v>
      </c>
      <c r="J39" s="893">
        <f>+H39*H$25+I39</f>
        <v>135964727.20617104</v>
      </c>
      <c r="K39" s="909">
        <f t="shared" si="1"/>
        <v>0</v>
      </c>
      <c r="L39" s="888">
        <f t="shared" si="2"/>
        <v>0</v>
      </c>
      <c r="M39" s="893">
        <f>+K39*K$25+L39</f>
        <v>0</v>
      </c>
      <c r="N39" s="909">
        <v>0</v>
      </c>
      <c r="O39" s="888">
        <f t="shared" si="10"/>
        <v>0</v>
      </c>
      <c r="P39" s="893">
        <f>+N39*N$25+O39</f>
        <v>0</v>
      </c>
      <c r="Q39" s="912">
        <f t="shared" si="3"/>
        <v>135964727.20617104</v>
      </c>
      <c r="R39" s="915">
        <f>+Q39</f>
        <v>135964727.20617104</v>
      </c>
      <c r="S39" s="916"/>
      <c r="T39" s="917">
        <f>R39-S38</f>
        <v>2828119.7323147953</v>
      </c>
    </row>
    <row r="40" spans="1:25">
      <c r="A40" s="846">
        <f t="shared" si="0"/>
        <v>25</v>
      </c>
      <c r="B40" s="906" t="str">
        <f t="shared" si="4"/>
        <v>2015W  9.8 % ROE</v>
      </c>
      <c r="C40" s="907" t="str">
        <f t="shared" si="6"/>
        <v>W  9.8 % ROE</v>
      </c>
      <c r="D40" s="914">
        <f t="shared" si="7"/>
        <v>2015</v>
      </c>
      <c r="E40" s="909">
        <f t="shared" si="8"/>
        <v>0</v>
      </c>
      <c r="F40" s="870">
        <f t="shared" si="5"/>
        <v>0</v>
      </c>
      <c r="G40" s="893">
        <f>+E40*E$24+F40</f>
        <v>0</v>
      </c>
      <c r="H40" s="910">
        <f>'Gateway PIS Monthly'!M94</f>
        <v>1350166903.3483121</v>
      </c>
      <c r="I40" s="919">
        <f>SUM('Gateway PIS Monthly'!J83:J94)</f>
        <v>24782099.925739925</v>
      </c>
      <c r="J40" s="893">
        <f>+H40*H$24+I40</f>
        <v>154689834.60562339</v>
      </c>
      <c r="K40" s="920">
        <f>$K$26*(IF($D40=data_year+1,1,0))</f>
        <v>0</v>
      </c>
      <c r="L40" s="921">
        <f t="shared" si="2"/>
        <v>0</v>
      </c>
      <c r="M40" s="922">
        <f>+K40*K$24+L40</f>
        <v>0</v>
      </c>
      <c r="N40" s="909">
        <v>0</v>
      </c>
      <c r="O40" s="888">
        <f t="shared" si="10"/>
        <v>0</v>
      </c>
      <c r="P40" s="893">
        <f>+N40*N$24+O40</f>
        <v>0</v>
      </c>
      <c r="Q40" s="912">
        <f t="shared" si="3"/>
        <v>154689834.60562339</v>
      </c>
      <c r="R40" s="861"/>
      <c r="S40" s="913">
        <f>+Q40</f>
        <v>154689834.60562339</v>
      </c>
      <c r="T40" s="907"/>
      <c r="X40" s="855"/>
    </row>
    <row r="41" spans="1:25">
      <c r="A41" s="846">
        <f t="shared" si="0"/>
        <v>26</v>
      </c>
      <c r="B41" s="906" t="str">
        <f t="shared" si="4"/>
        <v>2015W Increased ROE</v>
      </c>
      <c r="C41" s="907" t="str">
        <f t="shared" si="6"/>
        <v>W Increased ROE</v>
      </c>
      <c r="D41" s="914">
        <f t="shared" si="7"/>
        <v>2015</v>
      </c>
      <c r="E41" s="909">
        <f t="shared" si="8"/>
        <v>0</v>
      </c>
      <c r="F41" s="870">
        <f t="shared" si="5"/>
        <v>0</v>
      </c>
      <c r="G41" s="893">
        <f>+E41*E$25+F41</f>
        <v>0</v>
      </c>
      <c r="H41" s="909">
        <f>H40</f>
        <v>1350166903.3483121</v>
      </c>
      <c r="I41" s="888">
        <f t="shared" si="9"/>
        <v>24782099.925739925</v>
      </c>
      <c r="J41" s="893">
        <f>+H41*H$25+I41</f>
        <v>157970120.99047762</v>
      </c>
      <c r="K41" s="920">
        <f t="shared" si="1"/>
        <v>0</v>
      </c>
      <c r="L41" s="921">
        <f t="shared" si="2"/>
        <v>0</v>
      </c>
      <c r="M41" s="922">
        <f>+K41*K$25+L41</f>
        <v>0</v>
      </c>
      <c r="N41" s="909">
        <v>0</v>
      </c>
      <c r="O41" s="888">
        <f t="shared" si="10"/>
        <v>0</v>
      </c>
      <c r="P41" s="893">
        <f>+N41*N$25+O41</f>
        <v>0</v>
      </c>
      <c r="Q41" s="912">
        <f t="shared" si="3"/>
        <v>157970120.99047762</v>
      </c>
      <c r="R41" s="915">
        <f>+Q41</f>
        <v>157970120.99047762</v>
      </c>
      <c r="S41" s="916"/>
      <c r="T41" s="917">
        <f>R41-S40</f>
        <v>3280286.3848542273</v>
      </c>
      <c r="X41" s="855"/>
      <c r="Y41" s="855"/>
    </row>
    <row r="42" spans="1:25">
      <c r="A42" s="846">
        <f t="shared" si="0"/>
        <v>27</v>
      </c>
      <c r="B42" s="906" t="str">
        <f t="shared" si="4"/>
        <v>2016W  9.8 % ROE</v>
      </c>
      <c r="C42" s="907" t="str">
        <f t="shared" si="6"/>
        <v>W  9.8 % ROE</v>
      </c>
      <c r="D42" s="914">
        <f t="shared" si="7"/>
        <v>2016</v>
      </c>
      <c r="E42" s="909">
        <f t="shared" si="8"/>
        <v>0</v>
      </c>
      <c r="F42" s="870">
        <f t="shared" si="5"/>
        <v>0</v>
      </c>
      <c r="G42" s="893">
        <f>+E42*E$24+F42</f>
        <v>0</v>
      </c>
      <c r="H42" s="910">
        <f>'Gateway PIS Monthly'!M106</f>
        <v>1463059093.741802</v>
      </c>
      <c r="I42" s="919">
        <f>SUM('Gateway PIS Monthly'!J94:J106)</f>
        <v>29386385.30888648</v>
      </c>
      <c r="J42" s="893">
        <f>+H42*H$24+I42</f>
        <v>170156161.32654741</v>
      </c>
      <c r="K42" s="909">
        <f t="shared" si="1"/>
        <v>0</v>
      </c>
      <c r="L42" s="888">
        <f t="shared" si="2"/>
        <v>0</v>
      </c>
      <c r="M42" s="893">
        <f>+K42*K$24+L42</f>
        <v>0</v>
      </c>
      <c r="N42" s="909">
        <v>0</v>
      </c>
      <c r="O42" s="888">
        <f t="shared" si="10"/>
        <v>0</v>
      </c>
      <c r="P42" s="893">
        <f>+N42*N$24+O42</f>
        <v>0</v>
      </c>
      <c r="Q42" s="912">
        <f t="shared" si="3"/>
        <v>170156161.32654741</v>
      </c>
      <c r="R42" s="861"/>
      <c r="S42" s="913">
        <f>+Q42</f>
        <v>170156161.32654741</v>
      </c>
      <c r="T42" s="907"/>
    </row>
    <row r="43" spans="1:25">
      <c r="A43" s="846">
        <f t="shared" si="0"/>
        <v>28</v>
      </c>
      <c r="B43" s="906" t="str">
        <f t="shared" si="4"/>
        <v>2016W Increased ROE</v>
      </c>
      <c r="C43" s="907" t="str">
        <f t="shared" si="6"/>
        <v>W Increased ROE</v>
      </c>
      <c r="D43" s="914">
        <f t="shared" si="7"/>
        <v>2016</v>
      </c>
      <c r="E43" s="909">
        <f t="shared" si="8"/>
        <v>0</v>
      </c>
      <c r="F43" s="870">
        <f t="shared" si="5"/>
        <v>0</v>
      </c>
      <c r="G43" s="893">
        <f>+E43*E$25+F43</f>
        <v>0</v>
      </c>
      <c r="H43" s="909">
        <f>H42</f>
        <v>1463059093.741802</v>
      </c>
      <c r="I43" s="888">
        <f>I42</f>
        <v>29386385.30888648</v>
      </c>
      <c r="J43" s="893">
        <f>+H43*H$25+I43</f>
        <v>173710723.96138656</v>
      </c>
      <c r="K43" s="909">
        <f t="shared" si="1"/>
        <v>0</v>
      </c>
      <c r="L43" s="888">
        <f t="shared" si="2"/>
        <v>0</v>
      </c>
      <c r="M43" s="893">
        <f>+K43*K$25+L43</f>
        <v>0</v>
      </c>
      <c r="N43" s="909">
        <v>0</v>
      </c>
      <c r="O43" s="888">
        <f t="shared" si="10"/>
        <v>0</v>
      </c>
      <c r="P43" s="893">
        <f>+N43*N$25+O43</f>
        <v>0</v>
      </c>
      <c r="Q43" s="912">
        <f t="shared" si="3"/>
        <v>173710723.96138656</v>
      </c>
      <c r="R43" s="915">
        <f>+Q43</f>
        <v>173710723.96138656</v>
      </c>
      <c r="S43" s="916"/>
      <c r="T43" s="917">
        <f>R43-S42</f>
        <v>3554562.6348391473</v>
      </c>
    </row>
    <row r="44" spans="1:25">
      <c r="A44" s="846">
        <f t="shared" si="0"/>
        <v>29</v>
      </c>
      <c r="B44" s="906" t="str">
        <f t="shared" si="4"/>
        <v>2017W  9.8 % ROE</v>
      </c>
      <c r="C44" s="907" t="str">
        <f t="shared" si="6"/>
        <v>W  9.8 % ROE</v>
      </c>
      <c r="D44" s="914">
        <f t="shared" si="7"/>
        <v>2017</v>
      </c>
      <c r="E44" s="909">
        <f t="shared" si="8"/>
        <v>0</v>
      </c>
      <c r="F44" s="870">
        <f t="shared" si="5"/>
        <v>0</v>
      </c>
      <c r="G44" s="893">
        <f>+E44*E$24+F44</f>
        <v>0</v>
      </c>
      <c r="H44" s="910">
        <f>'Gateway PIS Monthly'!M118</f>
        <v>1439903455.379915</v>
      </c>
      <c r="I44" s="919">
        <f>SUM('Gateway PIS Monthly'!J106:J118)</f>
        <v>29467919.365660902</v>
      </c>
      <c r="J44" s="893">
        <f>+H44*H$24+I44</f>
        <v>168009751.18086845</v>
      </c>
      <c r="K44" s="909">
        <f>$K$26*(IF($D44=data_year+1,1,0))</f>
        <v>0</v>
      </c>
      <c r="L44" s="888">
        <f t="shared" si="2"/>
        <v>0</v>
      </c>
      <c r="M44" s="893">
        <f>+K44*K$24+L44</f>
        <v>0</v>
      </c>
      <c r="N44" s="909">
        <v>0</v>
      </c>
      <c r="O44" s="888">
        <f t="shared" si="10"/>
        <v>0</v>
      </c>
      <c r="P44" s="893">
        <f>+N44*N$24+O44</f>
        <v>0</v>
      </c>
      <c r="Q44" s="912">
        <f t="shared" si="3"/>
        <v>168009751.18086845</v>
      </c>
      <c r="R44" s="861"/>
      <c r="S44" s="913">
        <f>+Q44</f>
        <v>168009751.18086845</v>
      </c>
      <c r="T44" s="907"/>
    </row>
    <row r="45" spans="1:25">
      <c r="A45" s="846">
        <f t="shared" si="0"/>
        <v>30</v>
      </c>
      <c r="B45" s="906" t="str">
        <f t="shared" si="4"/>
        <v>2017W Increased ROE</v>
      </c>
      <c r="C45" s="907" t="str">
        <f t="shared" si="6"/>
        <v>W Increased ROE</v>
      </c>
      <c r="D45" s="914">
        <f t="shared" si="7"/>
        <v>2017</v>
      </c>
      <c r="E45" s="909">
        <f t="shared" si="8"/>
        <v>0</v>
      </c>
      <c r="F45" s="870">
        <f t="shared" si="5"/>
        <v>0</v>
      </c>
      <c r="G45" s="893">
        <f>+E45*E$25+F45</f>
        <v>0</v>
      </c>
      <c r="H45" s="909">
        <f>H44</f>
        <v>1439903455.379915</v>
      </c>
      <c r="I45" s="888">
        <f t="shared" si="9"/>
        <v>29467919.365660902</v>
      </c>
      <c r="J45" s="893">
        <f>+H45*H$25+I45</f>
        <v>171508056.23372811</v>
      </c>
      <c r="K45" s="909">
        <f t="shared" si="1"/>
        <v>0</v>
      </c>
      <c r="L45" s="888">
        <f t="shared" si="2"/>
        <v>0</v>
      </c>
      <c r="M45" s="893">
        <f>+K45*K$25+L45</f>
        <v>0</v>
      </c>
      <c r="N45" s="909">
        <v>0</v>
      </c>
      <c r="O45" s="888">
        <f t="shared" si="10"/>
        <v>0</v>
      </c>
      <c r="P45" s="893">
        <f>+N45*N$25+O45</f>
        <v>0</v>
      </c>
      <c r="Q45" s="912">
        <f t="shared" si="3"/>
        <v>171508056.23372811</v>
      </c>
      <c r="R45" s="915">
        <f>+Q45</f>
        <v>171508056.23372811</v>
      </c>
      <c r="S45" s="916"/>
      <c r="T45" s="917">
        <f>R45-S44</f>
        <v>3498305.052859664</v>
      </c>
    </row>
    <row r="46" spans="1:25">
      <c r="A46" s="846">
        <f t="shared" si="0"/>
        <v>31</v>
      </c>
      <c r="B46" s="906" t="str">
        <f t="shared" si="4"/>
        <v>2018W  9.8 % ROE</v>
      </c>
      <c r="C46" s="907" t="str">
        <f t="shared" si="6"/>
        <v>W  9.8 % ROE</v>
      </c>
      <c r="D46" s="914">
        <f t="shared" si="7"/>
        <v>2018</v>
      </c>
      <c r="E46" s="909">
        <f t="shared" si="8"/>
        <v>0</v>
      </c>
      <c r="F46" s="870">
        <f t="shared" si="5"/>
        <v>0</v>
      </c>
      <c r="G46" s="893">
        <f>+E46*E$24+F46</f>
        <v>0</v>
      </c>
      <c r="H46" s="910">
        <f>'Gateway PIS Monthly'!$M$130</f>
        <v>1413360220.1655149</v>
      </c>
      <c r="I46" s="919">
        <f>SUM('Gateway PIS Monthly'!J119:J130)</f>
        <v>27214370.567794517</v>
      </c>
      <c r="J46" s="893">
        <f>+H46*H$24+I46</f>
        <v>163202316.97133422</v>
      </c>
      <c r="K46" s="909">
        <f>$K$26*(IF($D46=data_year+1,1,0))</f>
        <v>0</v>
      </c>
      <c r="L46" s="888">
        <f t="shared" si="2"/>
        <v>0</v>
      </c>
      <c r="M46" s="893">
        <f>+K46*K$24+L46</f>
        <v>0</v>
      </c>
      <c r="N46" s="909">
        <v>0</v>
      </c>
      <c r="O46" s="888">
        <f t="shared" si="10"/>
        <v>0</v>
      </c>
      <c r="P46" s="893">
        <f>+N46*N$24+O46</f>
        <v>0</v>
      </c>
      <c r="Q46" s="912">
        <f t="shared" si="3"/>
        <v>163202316.97133422</v>
      </c>
      <c r="R46" s="861"/>
      <c r="S46" s="913">
        <f>+Q46</f>
        <v>163202316.97133422</v>
      </c>
      <c r="T46" s="907"/>
    </row>
    <row r="47" spans="1:25">
      <c r="A47" s="846">
        <f t="shared" si="0"/>
        <v>32</v>
      </c>
      <c r="B47" s="906" t="str">
        <f t="shared" si="4"/>
        <v>2018W Increased ROE</v>
      </c>
      <c r="C47" s="907" t="str">
        <f t="shared" si="6"/>
        <v>W Increased ROE</v>
      </c>
      <c r="D47" s="914">
        <f t="shared" si="7"/>
        <v>2018</v>
      </c>
      <c r="E47" s="909">
        <f t="shared" si="8"/>
        <v>0</v>
      </c>
      <c r="F47" s="870">
        <f t="shared" si="5"/>
        <v>0</v>
      </c>
      <c r="G47" s="893">
        <f>+E47*E$25+F47</f>
        <v>0</v>
      </c>
      <c r="H47" s="909">
        <f>H46</f>
        <v>1413360220.1655149</v>
      </c>
      <c r="I47" s="888">
        <f t="shared" si="9"/>
        <v>27214370.567794517</v>
      </c>
      <c r="J47" s="893">
        <f>+H47*H$25+I47</f>
        <v>166636134.13542408</v>
      </c>
      <c r="K47" s="909">
        <f t="shared" si="1"/>
        <v>0</v>
      </c>
      <c r="L47" s="888">
        <f t="shared" si="2"/>
        <v>0</v>
      </c>
      <c r="M47" s="893">
        <f>+K47*K$25+L47</f>
        <v>0</v>
      </c>
      <c r="N47" s="909">
        <v>0</v>
      </c>
      <c r="O47" s="888">
        <f t="shared" si="10"/>
        <v>0</v>
      </c>
      <c r="P47" s="893">
        <f>+N47*N$25+O47</f>
        <v>0</v>
      </c>
      <c r="Q47" s="912">
        <f t="shared" si="3"/>
        <v>166636134.13542408</v>
      </c>
      <c r="R47" s="915">
        <f>+Q47</f>
        <v>166636134.13542408</v>
      </c>
      <c r="S47" s="916"/>
      <c r="T47" s="917">
        <f>R47-S46</f>
        <v>3433817.1640898585</v>
      </c>
    </row>
    <row r="48" spans="1:25">
      <c r="A48" s="846">
        <f t="shared" si="0"/>
        <v>33</v>
      </c>
      <c r="B48" s="906" t="str">
        <f t="shared" si="4"/>
        <v>2019W  9.8 % ROE</v>
      </c>
      <c r="C48" s="907" t="str">
        <f t="shared" si="6"/>
        <v>W  9.8 % ROE</v>
      </c>
      <c r="D48" s="914">
        <f t="shared" si="7"/>
        <v>2019</v>
      </c>
      <c r="E48" s="909">
        <f t="shared" si="8"/>
        <v>0</v>
      </c>
      <c r="F48" s="870">
        <f t="shared" si="5"/>
        <v>0</v>
      </c>
      <c r="G48" s="893">
        <f>+E48*E$24+F48</f>
        <v>0</v>
      </c>
      <c r="H48" s="910">
        <f>'Gateway PIS Monthly'!M142</f>
        <v>1386203296.6665728</v>
      </c>
      <c r="I48" s="919">
        <f>SUM('Gateway PIS Monthly'!J131:J142)</f>
        <v>27215321.251860615</v>
      </c>
      <c r="J48" s="893">
        <f>+H48*H$24+I48</f>
        <v>160590335.57724494</v>
      </c>
      <c r="K48" s="909">
        <f t="shared" si="1"/>
        <v>0</v>
      </c>
      <c r="L48" s="888">
        <f t="shared" si="2"/>
        <v>0</v>
      </c>
      <c r="M48" s="893">
        <f>+K48*K$24+L48</f>
        <v>0</v>
      </c>
      <c r="N48" s="909">
        <v>0</v>
      </c>
      <c r="O48" s="888">
        <f t="shared" si="10"/>
        <v>0</v>
      </c>
      <c r="P48" s="893">
        <f>+N48*N$24+O48</f>
        <v>0</v>
      </c>
      <c r="Q48" s="912">
        <f t="shared" si="3"/>
        <v>160590335.57724494</v>
      </c>
      <c r="R48" s="861"/>
      <c r="S48" s="913">
        <f>+Q48</f>
        <v>160590335.57724494</v>
      </c>
      <c r="T48" s="907"/>
    </row>
    <row r="49" spans="1:20">
      <c r="A49" s="846">
        <f t="shared" si="0"/>
        <v>34</v>
      </c>
      <c r="B49" s="906" t="str">
        <f t="shared" si="4"/>
        <v>2019W Increased ROE</v>
      </c>
      <c r="C49" s="907" t="str">
        <f t="shared" si="6"/>
        <v>W Increased ROE</v>
      </c>
      <c r="D49" s="914">
        <f t="shared" si="7"/>
        <v>2019</v>
      </c>
      <c r="E49" s="909">
        <f t="shared" si="8"/>
        <v>0</v>
      </c>
      <c r="F49" s="870">
        <f t="shared" si="5"/>
        <v>0</v>
      </c>
      <c r="G49" s="893">
        <f>+E49*E$25+F49</f>
        <v>0</v>
      </c>
      <c r="H49" s="909">
        <f>H48</f>
        <v>1386203296.6665728</v>
      </c>
      <c r="I49" s="888">
        <f t="shared" si="9"/>
        <v>27215321.251860615</v>
      </c>
      <c r="J49" s="893">
        <f>+H49*H$25+I49</f>
        <v>163958173.87147275</v>
      </c>
      <c r="K49" s="909">
        <f t="shared" si="1"/>
        <v>0</v>
      </c>
      <c r="L49" s="888">
        <f t="shared" si="2"/>
        <v>0</v>
      </c>
      <c r="M49" s="893">
        <f>+K49*K$25+L49</f>
        <v>0</v>
      </c>
      <c r="N49" s="909">
        <v>0</v>
      </c>
      <c r="O49" s="888">
        <f t="shared" si="10"/>
        <v>0</v>
      </c>
      <c r="P49" s="893">
        <f>+N49*N$25+O49</f>
        <v>0</v>
      </c>
      <c r="Q49" s="912">
        <f t="shared" si="3"/>
        <v>163958173.87147275</v>
      </c>
      <c r="R49" s="915">
        <f>+Q49</f>
        <v>163958173.87147275</v>
      </c>
      <c r="S49" s="916"/>
      <c r="T49" s="917">
        <f>R49-S48</f>
        <v>3367838.2942278087</v>
      </c>
    </row>
    <row r="50" spans="1:20">
      <c r="A50" s="846">
        <f t="shared" si="0"/>
        <v>35</v>
      </c>
      <c r="B50" s="906" t="str">
        <f t="shared" si="4"/>
        <v>2020W  9.8 % ROE</v>
      </c>
      <c r="C50" s="907" t="str">
        <f t="shared" si="6"/>
        <v>W  9.8 % ROE</v>
      </c>
      <c r="D50" s="914">
        <f t="shared" si="7"/>
        <v>2020</v>
      </c>
      <c r="E50" s="909">
        <f t="shared" si="8"/>
        <v>0</v>
      </c>
      <c r="F50" s="870">
        <f t="shared" si="5"/>
        <v>0</v>
      </c>
      <c r="G50" s="893">
        <f>+E50*E$24+F50</f>
        <v>0</v>
      </c>
      <c r="H50" s="910">
        <f>'Gateway PIS Monthly'!M154</f>
        <v>1471003295.3263257</v>
      </c>
      <c r="I50" s="919">
        <f>SUM('Gateway PIS Monthly'!J143:J154)</f>
        <v>28854427.421077572</v>
      </c>
      <c r="J50" s="893">
        <f>+H50*H$24+I50</f>
        <v>170388563.18502358</v>
      </c>
      <c r="K50" s="909">
        <f t="shared" si="1"/>
        <v>0</v>
      </c>
      <c r="L50" s="888">
        <f t="shared" si="2"/>
        <v>0</v>
      </c>
      <c r="M50" s="893">
        <f>+K50*K$24+L50</f>
        <v>0</v>
      </c>
      <c r="N50" s="909">
        <v>0</v>
      </c>
      <c r="O50" s="888">
        <f t="shared" si="10"/>
        <v>0</v>
      </c>
      <c r="P50" s="893">
        <f>+N50*N$24+O50</f>
        <v>0</v>
      </c>
      <c r="Q50" s="912">
        <f t="shared" si="3"/>
        <v>170388563.18502358</v>
      </c>
      <c r="R50" s="861"/>
      <c r="S50" s="913">
        <f>+Q50</f>
        <v>170388563.18502358</v>
      </c>
      <c r="T50" s="907"/>
    </row>
    <row r="51" spans="1:20">
      <c r="A51" s="846">
        <f t="shared" si="0"/>
        <v>36</v>
      </c>
      <c r="B51" s="906" t="str">
        <f t="shared" si="4"/>
        <v>2020W Increased ROE</v>
      </c>
      <c r="C51" s="907" t="str">
        <f t="shared" si="6"/>
        <v>W Increased ROE</v>
      </c>
      <c r="D51" s="914">
        <f t="shared" si="7"/>
        <v>2020</v>
      </c>
      <c r="E51" s="909">
        <f t="shared" si="8"/>
        <v>0</v>
      </c>
      <c r="F51" s="870">
        <f t="shared" si="5"/>
        <v>0</v>
      </c>
      <c r="G51" s="893">
        <f>+E51*E$25+F51</f>
        <v>0</v>
      </c>
      <c r="H51" s="909">
        <f>H50</f>
        <v>1471003295.3263257</v>
      </c>
      <c r="I51" s="888">
        <f t="shared" si="9"/>
        <v>28854427.421077572</v>
      </c>
      <c r="J51" s="893">
        <f>+H51*H$25+I51</f>
        <v>173962426.58648029</v>
      </c>
      <c r="K51" s="909">
        <f t="shared" si="1"/>
        <v>0</v>
      </c>
      <c r="L51" s="888">
        <f t="shared" si="2"/>
        <v>0</v>
      </c>
      <c r="M51" s="893">
        <f>+K51*K$25+L51</f>
        <v>0</v>
      </c>
      <c r="N51" s="909">
        <v>0</v>
      </c>
      <c r="O51" s="888">
        <f t="shared" si="10"/>
        <v>0</v>
      </c>
      <c r="P51" s="893">
        <f>+N51*N$25+O51</f>
        <v>0</v>
      </c>
      <c r="Q51" s="912">
        <f t="shared" si="3"/>
        <v>173962426.58648029</v>
      </c>
      <c r="R51" s="915">
        <f>+Q51</f>
        <v>173962426.58648029</v>
      </c>
      <c r="S51" s="916"/>
      <c r="T51" s="917">
        <f>R51-S50</f>
        <v>3573863.4014567137</v>
      </c>
    </row>
    <row r="52" spans="1:20">
      <c r="A52" s="846">
        <f t="shared" si="0"/>
        <v>37</v>
      </c>
      <c r="B52" s="906" t="str">
        <f t="shared" si="4"/>
        <v>2021W  9.8 % ROE</v>
      </c>
      <c r="C52" s="907" t="str">
        <f t="shared" si="6"/>
        <v>W  9.8 % ROE</v>
      </c>
      <c r="D52" s="914">
        <f t="shared" si="7"/>
        <v>2021</v>
      </c>
      <c r="E52" s="909">
        <f t="shared" si="8"/>
        <v>0</v>
      </c>
      <c r="F52" s="870">
        <f t="shared" si="5"/>
        <v>0</v>
      </c>
      <c r="G52" s="893">
        <f>+E52*E$24+F52</f>
        <v>0</v>
      </c>
      <c r="H52" s="910">
        <f>'Gateway PIS Monthly'!M166</f>
        <v>1965162841.1352038</v>
      </c>
      <c r="I52" s="919">
        <f>SUM('Gateway PIS Monthly'!J155:J166)</f>
        <v>38264498.976688206</v>
      </c>
      <c r="J52" s="893">
        <f>+H52*H$24+I52</f>
        <v>227344717.38217455</v>
      </c>
      <c r="K52" s="909">
        <f t="shared" si="1"/>
        <v>0</v>
      </c>
      <c r="L52" s="888">
        <f t="shared" si="2"/>
        <v>0</v>
      </c>
      <c r="M52" s="893">
        <f>+K52*K$24+L52</f>
        <v>0</v>
      </c>
      <c r="N52" s="909">
        <v>0</v>
      </c>
      <c r="O52" s="888">
        <f t="shared" si="10"/>
        <v>0</v>
      </c>
      <c r="P52" s="893">
        <f>+N52*N$24+O52</f>
        <v>0</v>
      </c>
      <c r="Q52" s="912">
        <f t="shared" si="3"/>
        <v>227344717.38217455</v>
      </c>
      <c r="R52" s="861"/>
      <c r="S52" s="913">
        <f>+Q52</f>
        <v>227344717.38217455</v>
      </c>
      <c r="T52" s="907"/>
    </row>
    <row r="53" spans="1:20">
      <c r="A53" s="846">
        <f t="shared" si="0"/>
        <v>38</v>
      </c>
      <c r="B53" s="906" t="str">
        <f t="shared" si="4"/>
        <v>2021W Increased ROE</v>
      </c>
      <c r="C53" s="907" t="str">
        <f t="shared" si="6"/>
        <v>W Increased ROE</v>
      </c>
      <c r="D53" s="914">
        <f t="shared" si="7"/>
        <v>2021</v>
      </c>
      <c r="E53" s="909">
        <f t="shared" si="8"/>
        <v>0</v>
      </c>
      <c r="F53" s="870">
        <f t="shared" si="5"/>
        <v>0</v>
      </c>
      <c r="G53" s="893">
        <f>+E53*E$25+F53</f>
        <v>0</v>
      </c>
      <c r="H53" s="909">
        <f>H52</f>
        <v>1965162841.1352038</v>
      </c>
      <c r="I53" s="888">
        <f t="shared" si="9"/>
        <v>38264498.976688206</v>
      </c>
      <c r="J53" s="893">
        <f>+H53*H$25+I53</f>
        <v>232119161.85701019</v>
      </c>
      <c r="K53" s="909">
        <f t="shared" si="1"/>
        <v>0</v>
      </c>
      <c r="L53" s="888">
        <f t="shared" si="2"/>
        <v>0</v>
      </c>
      <c r="M53" s="893">
        <f>+K53*K$25+L53</f>
        <v>0</v>
      </c>
      <c r="N53" s="909">
        <v>0</v>
      </c>
      <c r="O53" s="888">
        <f t="shared" si="10"/>
        <v>0</v>
      </c>
      <c r="P53" s="893">
        <f>+N53*N$25+O53</f>
        <v>0</v>
      </c>
      <c r="Q53" s="912">
        <f t="shared" si="3"/>
        <v>232119161.85701019</v>
      </c>
      <c r="R53" s="915">
        <f>+Q53</f>
        <v>232119161.85701019</v>
      </c>
      <c r="S53" s="916"/>
      <c r="T53" s="917">
        <f>R53-S52</f>
        <v>4774444.4748356342</v>
      </c>
    </row>
    <row r="54" spans="1:20">
      <c r="A54" s="846">
        <f t="shared" si="0"/>
        <v>39</v>
      </c>
      <c r="B54" s="906" t="str">
        <f t="shared" si="4"/>
        <v>2022W  9.8 % ROE</v>
      </c>
      <c r="C54" s="907" t="str">
        <f t="shared" si="6"/>
        <v>W  9.8 % ROE</v>
      </c>
      <c r="D54" s="914">
        <f t="shared" si="7"/>
        <v>2022</v>
      </c>
      <c r="E54" s="909">
        <f t="shared" si="8"/>
        <v>0</v>
      </c>
      <c r="F54" s="870">
        <f t="shared" si="5"/>
        <v>0</v>
      </c>
      <c r="G54" s="893">
        <f>+E54*E$24+F54</f>
        <v>0</v>
      </c>
      <c r="H54" s="910">
        <f>'Gateway PIS Monthly'!M178</f>
        <v>1921488941.8602524</v>
      </c>
      <c r="I54" s="919">
        <f>SUM('Gateway PIS Monthly'!J167:J178)</f>
        <v>38164914.752435327</v>
      </c>
      <c r="J54" s="893">
        <f>+H54*H$24+I54</f>
        <v>223043002.80990598</v>
      </c>
      <c r="K54" s="909">
        <f t="shared" si="1"/>
        <v>0</v>
      </c>
      <c r="L54" s="888">
        <f t="shared" si="2"/>
        <v>0</v>
      </c>
      <c r="M54" s="893">
        <f>+K54*K$24+L54</f>
        <v>0</v>
      </c>
      <c r="N54" s="909">
        <v>0</v>
      </c>
      <c r="O54" s="888">
        <f t="shared" si="10"/>
        <v>0</v>
      </c>
      <c r="P54" s="893">
        <f>+N54*N$24+O54</f>
        <v>0</v>
      </c>
      <c r="Q54" s="912">
        <f t="shared" si="3"/>
        <v>223043002.80990598</v>
      </c>
      <c r="R54" s="861"/>
      <c r="S54" s="913">
        <f>+Q54</f>
        <v>223043002.80990598</v>
      </c>
      <c r="T54" s="907"/>
    </row>
    <row r="55" spans="1:20">
      <c r="A55" s="846">
        <f t="shared" si="0"/>
        <v>40</v>
      </c>
      <c r="B55" s="906" t="str">
        <f t="shared" si="4"/>
        <v>2022W Increased ROE</v>
      </c>
      <c r="C55" s="907" t="str">
        <f t="shared" si="6"/>
        <v>W Increased ROE</v>
      </c>
      <c r="D55" s="914">
        <f t="shared" si="7"/>
        <v>2022</v>
      </c>
      <c r="E55" s="909">
        <f t="shared" si="8"/>
        <v>0</v>
      </c>
      <c r="F55" s="870">
        <f t="shared" si="5"/>
        <v>0</v>
      </c>
      <c r="G55" s="893">
        <f>+E55*E$25+F55</f>
        <v>0</v>
      </c>
      <c r="H55" s="909">
        <f>H54</f>
        <v>1921488941.8602524</v>
      </c>
      <c r="I55" s="888">
        <f t="shared" si="9"/>
        <v>38164914.752435327</v>
      </c>
      <c r="J55" s="893">
        <f>+H55*H$25+I55</f>
        <v>227711339.73847464</v>
      </c>
      <c r="K55" s="909">
        <f t="shared" si="1"/>
        <v>0</v>
      </c>
      <c r="L55" s="888">
        <f t="shared" si="2"/>
        <v>0</v>
      </c>
      <c r="M55" s="893">
        <f>+K55*K$25+L55</f>
        <v>0</v>
      </c>
      <c r="N55" s="909">
        <v>0</v>
      </c>
      <c r="O55" s="888">
        <f t="shared" si="10"/>
        <v>0</v>
      </c>
      <c r="P55" s="893">
        <f>+N55*N$25+O55</f>
        <v>0</v>
      </c>
      <c r="Q55" s="912">
        <f t="shared" si="3"/>
        <v>227711339.73847464</v>
      </c>
      <c r="R55" s="915">
        <f>+Q55</f>
        <v>227711339.73847464</v>
      </c>
      <c r="S55" s="916"/>
      <c r="T55" s="917">
        <f>R55-S54</f>
        <v>4668336.9285686612</v>
      </c>
    </row>
    <row r="56" spans="1:20">
      <c r="A56" s="846">
        <f t="shared" si="0"/>
        <v>41</v>
      </c>
      <c r="B56" s="906" t="str">
        <f t="shared" si="4"/>
        <v>2023W  9.8 % ROE</v>
      </c>
      <c r="C56" s="907" t="str">
        <f t="shared" si="6"/>
        <v>W  9.8 % ROE</v>
      </c>
      <c r="D56" s="914">
        <f t="shared" si="7"/>
        <v>2023</v>
      </c>
      <c r="E56" s="909">
        <f t="shared" si="8"/>
        <v>0</v>
      </c>
      <c r="F56" s="870">
        <f t="shared" si="5"/>
        <v>0</v>
      </c>
      <c r="G56" s="893">
        <f>+E56*E$24+F56</f>
        <v>0</v>
      </c>
      <c r="H56" s="910">
        <f>'Gateway PIS Monthly'!M190</f>
        <v>1893870114.1704946</v>
      </c>
      <c r="I56" s="919">
        <f>SUM('Gateway PIS Monthly'!J179:J190)</f>
        <v>38337273.66875717</v>
      </c>
      <c r="J56" s="893">
        <f>+H56*H$24+I56</f>
        <v>220557987.04848036</v>
      </c>
      <c r="K56" s="909">
        <f>$K$26*(IF($D56=data_year+1,1,0))</f>
        <v>0</v>
      </c>
      <c r="L56" s="888">
        <f t="shared" si="2"/>
        <v>0</v>
      </c>
      <c r="M56" s="893">
        <f>+K56*K$24+L56</f>
        <v>0</v>
      </c>
      <c r="N56" s="909">
        <v>0</v>
      </c>
      <c r="O56" s="888">
        <f t="shared" si="10"/>
        <v>0</v>
      </c>
      <c r="P56" s="893">
        <f>+N56*N$24+O56</f>
        <v>0</v>
      </c>
      <c r="Q56" s="912">
        <f t="shared" si="3"/>
        <v>220557987.04848036</v>
      </c>
      <c r="R56" s="861"/>
      <c r="S56" s="913">
        <f>+Q56</f>
        <v>220557987.04848036</v>
      </c>
      <c r="T56" s="907"/>
    </row>
    <row r="57" spans="1:20">
      <c r="A57" s="846">
        <f t="shared" si="0"/>
        <v>42</v>
      </c>
      <c r="B57" s="906" t="str">
        <f t="shared" si="4"/>
        <v>2023W Increased ROE</v>
      </c>
      <c r="C57" s="907" t="str">
        <f t="shared" si="6"/>
        <v>W Increased ROE</v>
      </c>
      <c r="D57" s="914">
        <f t="shared" si="7"/>
        <v>2023</v>
      </c>
      <c r="E57" s="909">
        <f t="shared" si="8"/>
        <v>0</v>
      </c>
      <c r="F57" s="870">
        <f t="shared" si="5"/>
        <v>0</v>
      </c>
      <c r="G57" s="893">
        <f>+E57*E$25+F57</f>
        <v>0</v>
      </c>
      <c r="H57" s="909">
        <f>H56</f>
        <v>1893870114.1704946</v>
      </c>
      <c r="I57" s="888">
        <f>I56</f>
        <v>38337273.66875717</v>
      </c>
      <c r="J57" s="893">
        <f>+H57*H$25+I57</f>
        <v>225159222.89183384</v>
      </c>
      <c r="K57" s="909">
        <f t="shared" si="1"/>
        <v>0</v>
      </c>
      <c r="L57" s="888">
        <f t="shared" si="2"/>
        <v>0</v>
      </c>
      <c r="M57" s="893">
        <f>+K57*K$25+L57</f>
        <v>0</v>
      </c>
      <c r="N57" s="909">
        <v>0</v>
      </c>
      <c r="O57" s="888">
        <f t="shared" si="10"/>
        <v>0</v>
      </c>
      <c r="P57" s="893">
        <f>+N57*N$25+O57</f>
        <v>0</v>
      </c>
      <c r="Q57" s="912">
        <f t="shared" si="3"/>
        <v>225159222.89183384</v>
      </c>
      <c r="R57" s="915">
        <f>+Q57</f>
        <v>225159222.89183384</v>
      </c>
      <c r="S57" s="916"/>
      <c r="T57" s="917">
        <f>R57-S56</f>
        <v>4601235.8433534801</v>
      </c>
    </row>
    <row r="58" spans="1:20">
      <c r="A58" s="846">
        <f t="shared" si="0"/>
        <v>43</v>
      </c>
      <c r="B58" s="906" t="str">
        <f t="shared" si="4"/>
        <v>2024W  9.8 % ROE</v>
      </c>
      <c r="C58" s="907" t="str">
        <f t="shared" si="6"/>
        <v>W  9.8 % ROE</v>
      </c>
      <c r="D58" s="914">
        <f t="shared" si="7"/>
        <v>2024</v>
      </c>
      <c r="E58" s="909">
        <f t="shared" si="8"/>
        <v>0</v>
      </c>
      <c r="F58" s="870">
        <f t="shared" si="5"/>
        <v>0</v>
      </c>
      <c r="G58" s="893">
        <f>+E58*E$24+F58</f>
        <v>0</v>
      </c>
      <c r="H58" s="910">
        <f>'Gateway PIS Monthly'!M202</f>
        <v>2291934643.6390376</v>
      </c>
      <c r="I58" s="919">
        <f>SUM('Gateway PIS Monthly'!J191:J202)</f>
        <v>39519057.097608127</v>
      </c>
      <c r="J58" s="893">
        <f>+H58*H$24+I58</f>
        <v>260039969.62414134</v>
      </c>
      <c r="K58" s="909">
        <f t="shared" si="1"/>
        <v>0</v>
      </c>
      <c r="L58" s="888">
        <f t="shared" si="2"/>
        <v>0</v>
      </c>
      <c r="M58" s="893">
        <f>+K58*K$24+L58</f>
        <v>0</v>
      </c>
      <c r="N58" s="909">
        <v>0</v>
      </c>
      <c r="O58" s="888">
        <f t="shared" si="10"/>
        <v>0</v>
      </c>
      <c r="P58" s="893">
        <f>+N58*N$24+O58</f>
        <v>0</v>
      </c>
      <c r="Q58" s="912">
        <f t="shared" si="3"/>
        <v>260039969.62414134</v>
      </c>
      <c r="R58" s="861"/>
      <c r="S58" s="913">
        <f>+Q58</f>
        <v>260039969.62414134</v>
      </c>
      <c r="T58" s="907"/>
    </row>
    <row r="59" spans="1:20">
      <c r="A59" s="846">
        <f t="shared" si="0"/>
        <v>44</v>
      </c>
      <c r="B59" s="906" t="str">
        <f t="shared" si="4"/>
        <v>2024W Increased ROE</v>
      </c>
      <c r="C59" s="907" t="str">
        <f t="shared" si="6"/>
        <v>W Increased ROE</v>
      </c>
      <c r="D59" s="914">
        <f t="shared" si="7"/>
        <v>2024</v>
      </c>
      <c r="E59" s="909">
        <f t="shared" si="8"/>
        <v>0</v>
      </c>
      <c r="F59" s="870">
        <f t="shared" si="5"/>
        <v>0</v>
      </c>
      <c r="G59" s="893">
        <f>+E59*E$25+F59</f>
        <v>0</v>
      </c>
      <c r="H59" s="909">
        <f>H58</f>
        <v>2291934643.6390376</v>
      </c>
      <c r="I59" s="888">
        <f>I58</f>
        <v>39519057.097608127</v>
      </c>
      <c r="J59" s="893">
        <f>+H59*H$25+I59</f>
        <v>265608319.7206074</v>
      </c>
      <c r="K59" s="909">
        <f t="shared" si="1"/>
        <v>0</v>
      </c>
      <c r="L59" s="888">
        <f t="shared" si="2"/>
        <v>0</v>
      </c>
      <c r="M59" s="893">
        <f>+K59*K$25+L59</f>
        <v>0</v>
      </c>
      <c r="N59" s="909">
        <v>0</v>
      </c>
      <c r="O59" s="888">
        <f t="shared" si="10"/>
        <v>0</v>
      </c>
      <c r="P59" s="893">
        <f>+N59*N$25+O59</f>
        <v>0</v>
      </c>
      <c r="Q59" s="912">
        <f t="shared" si="3"/>
        <v>265608319.7206074</v>
      </c>
      <c r="R59" s="915">
        <f>+Q59</f>
        <v>265608319.7206074</v>
      </c>
      <c r="S59" s="916"/>
      <c r="T59" s="917">
        <f>R59-S58</f>
        <v>5568350.0964660645</v>
      </c>
    </row>
    <row r="60" spans="1:20">
      <c r="A60" s="846">
        <f t="shared" si="0"/>
        <v>45</v>
      </c>
      <c r="B60" s="906" t="str">
        <f t="shared" si="4"/>
        <v>2025W  9.8 % ROE</v>
      </c>
      <c r="C60" s="907" t="str">
        <f t="shared" si="6"/>
        <v>W  9.8 % ROE</v>
      </c>
      <c r="D60" s="914">
        <f t="shared" si="7"/>
        <v>2025</v>
      </c>
      <c r="E60" s="909">
        <f t="shared" si="8"/>
        <v>0</v>
      </c>
      <c r="F60" s="870">
        <f t="shared" si="5"/>
        <v>0</v>
      </c>
      <c r="G60" s="893">
        <f>+E60*E$24+F60</f>
        <v>0</v>
      </c>
      <c r="H60" s="910">
        <f>'Gateway PIS Monthly'!M214</f>
        <v>4341547901.5409374</v>
      </c>
      <c r="I60" s="919">
        <f>SUM('Gateway PIS Monthly'!J203:J214)</f>
        <v>72778225.501832038</v>
      </c>
      <c r="J60" s="893">
        <f>+H60*H$24+I60</f>
        <v>490504842.48133719</v>
      </c>
      <c r="K60" s="909">
        <f t="shared" si="1"/>
        <v>94815182.698795989</v>
      </c>
      <c r="L60" s="888">
        <f t="shared" si="2"/>
        <v>1480904.9377926211</v>
      </c>
      <c r="M60" s="893">
        <f>+K60*K$24+L60</f>
        <v>10603647.886915486</v>
      </c>
      <c r="N60" s="909">
        <v>0</v>
      </c>
      <c r="O60" s="888">
        <f t="shared" si="10"/>
        <v>0</v>
      </c>
      <c r="P60" s="893">
        <f>+N60*N$24+O60</f>
        <v>0</v>
      </c>
      <c r="Q60" s="912">
        <f t="shared" si="3"/>
        <v>501108490.36825269</v>
      </c>
      <c r="R60" s="861"/>
      <c r="S60" s="913">
        <f>+Q60</f>
        <v>501108490.36825269</v>
      </c>
      <c r="T60" s="907"/>
    </row>
    <row r="61" spans="1:20">
      <c r="A61" s="846">
        <f t="shared" si="0"/>
        <v>46</v>
      </c>
      <c r="B61" s="906" t="str">
        <f t="shared" si="4"/>
        <v>2025W Increased ROE</v>
      </c>
      <c r="C61" s="907" t="str">
        <f t="shared" si="6"/>
        <v>W Increased ROE</v>
      </c>
      <c r="D61" s="914">
        <f t="shared" si="7"/>
        <v>2025</v>
      </c>
      <c r="E61" s="909">
        <f t="shared" si="8"/>
        <v>0</v>
      </c>
      <c r="F61" s="870">
        <f t="shared" si="5"/>
        <v>0</v>
      </c>
      <c r="G61" s="893">
        <f>+E61*E$25+F61</f>
        <v>0</v>
      </c>
      <c r="H61" s="909">
        <f>H60</f>
        <v>4341547901.5409374</v>
      </c>
      <c r="I61" s="888">
        <f>I60</f>
        <v>72778225.501832038</v>
      </c>
      <c r="J61" s="893">
        <f>+H61*H$25+I61</f>
        <v>501052812.83618689</v>
      </c>
      <c r="K61" s="909">
        <f t="shared" si="1"/>
        <v>94815182.698795989</v>
      </c>
      <c r="L61" s="888">
        <f t="shared" si="2"/>
        <v>1480904.9377926211</v>
      </c>
      <c r="M61" s="893">
        <f>+K61*K$25+L61</f>
        <v>10834005.298368113</v>
      </c>
      <c r="N61" s="909">
        <v>0</v>
      </c>
      <c r="O61" s="888">
        <f t="shared" si="10"/>
        <v>0</v>
      </c>
      <c r="P61" s="893">
        <f>+N61*N$25+O61</f>
        <v>0</v>
      </c>
      <c r="Q61" s="912">
        <f t="shared" si="3"/>
        <v>511886818.13455498</v>
      </c>
      <c r="R61" s="915">
        <f>+Q61</f>
        <v>511886818.13455498</v>
      </c>
      <c r="S61" s="916"/>
      <c r="T61" s="917">
        <f>R61-S60</f>
        <v>10778327.766302288</v>
      </c>
    </row>
    <row r="62" spans="1:20">
      <c r="A62" s="846">
        <f t="shared" si="0"/>
        <v>47</v>
      </c>
      <c r="B62" s="906" t="str">
        <f t="shared" si="4"/>
        <v>2026W  9.8 % ROE</v>
      </c>
      <c r="C62" s="907" t="str">
        <f t="shared" si="6"/>
        <v>W  9.8 % ROE</v>
      </c>
      <c r="D62" s="914">
        <f t="shared" si="7"/>
        <v>2026</v>
      </c>
      <c r="E62" s="909">
        <f t="shared" si="8"/>
        <v>0</v>
      </c>
      <c r="F62" s="870">
        <f t="shared" si="5"/>
        <v>0</v>
      </c>
      <c r="G62" s="893">
        <f>+E62*E$24+F62</f>
        <v>0</v>
      </c>
      <c r="H62" s="909">
        <v>0</v>
      </c>
      <c r="I62" s="888">
        <v>0</v>
      </c>
      <c r="J62" s="893">
        <f>+H62*H$24+I62</f>
        <v>0</v>
      </c>
      <c r="K62" s="909">
        <f t="shared" si="1"/>
        <v>0</v>
      </c>
      <c r="L62" s="888">
        <f t="shared" si="2"/>
        <v>0</v>
      </c>
      <c r="M62" s="893">
        <f>+K62*K$24+L62</f>
        <v>0</v>
      </c>
      <c r="N62" s="909">
        <v>0</v>
      </c>
      <c r="O62" s="888">
        <f t="shared" si="10"/>
        <v>0</v>
      </c>
      <c r="P62" s="893">
        <f>+N62*N$24+O62</f>
        <v>0</v>
      </c>
      <c r="Q62" s="912">
        <f t="shared" si="3"/>
        <v>0</v>
      </c>
      <c r="R62" s="861"/>
      <c r="S62" s="913">
        <f>+Q62</f>
        <v>0</v>
      </c>
      <c r="T62" s="907"/>
    </row>
    <row r="63" spans="1:20">
      <c r="A63" s="846">
        <f t="shared" si="0"/>
        <v>48</v>
      </c>
      <c r="B63" s="906" t="str">
        <f t="shared" si="4"/>
        <v>2026W Increased ROE</v>
      </c>
      <c r="C63" s="907" t="str">
        <f t="shared" si="6"/>
        <v>W Increased ROE</v>
      </c>
      <c r="D63" s="914">
        <f t="shared" si="7"/>
        <v>2026</v>
      </c>
      <c r="E63" s="909">
        <f t="shared" si="8"/>
        <v>0</v>
      </c>
      <c r="F63" s="870">
        <f t="shared" si="5"/>
        <v>0</v>
      </c>
      <c r="G63" s="893">
        <f>+E63*E$25+F63</f>
        <v>0</v>
      </c>
      <c r="H63" s="909">
        <f>H62</f>
        <v>0</v>
      </c>
      <c r="I63" s="888">
        <f t="shared" si="9"/>
        <v>0</v>
      </c>
      <c r="J63" s="893">
        <f>+H63*H$25+I63</f>
        <v>0</v>
      </c>
      <c r="K63" s="909">
        <f t="shared" si="1"/>
        <v>0</v>
      </c>
      <c r="L63" s="888">
        <f t="shared" si="2"/>
        <v>0</v>
      </c>
      <c r="M63" s="893">
        <f>+K63*K$25+L63</f>
        <v>0</v>
      </c>
      <c r="N63" s="909">
        <v>0</v>
      </c>
      <c r="O63" s="888">
        <f t="shared" si="10"/>
        <v>0</v>
      </c>
      <c r="P63" s="893">
        <f>+N63*N$25+O63</f>
        <v>0</v>
      </c>
      <c r="Q63" s="912">
        <f t="shared" si="3"/>
        <v>0</v>
      </c>
      <c r="R63" s="915">
        <f>+Q63</f>
        <v>0</v>
      </c>
      <c r="S63" s="916"/>
      <c r="T63" s="917">
        <f>R63-S62</f>
        <v>0</v>
      </c>
    </row>
    <row r="64" spans="1:20">
      <c r="A64" s="846">
        <f t="shared" si="0"/>
        <v>49</v>
      </c>
      <c r="B64" s="906" t="str">
        <f t="shared" si="4"/>
        <v>2027W  9.8 % ROE</v>
      </c>
      <c r="C64" s="907" t="str">
        <f t="shared" si="6"/>
        <v>W  9.8 % ROE</v>
      </c>
      <c r="D64" s="914">
        <f t="shared" si="7"/>
        <v>2027</v>
      </c>
      <c r="E64" s="909">
        <f t="shared" si="8"/>
        <v>0</v>
      </c>
      <c r="F64" s="870">
        <f t="shared" si="5"/>
        <v>0</v>
      </c>
      <c r="G64" s="893">
        <f>+E64*E$24+F64</f>
        <v>0</v>
      </c>
      <c r="H64" s="909">
        <f>H63-(I63*0.5)</f>
        <v>0</v>
      </c>
      <c r="I64" s="888">
        <f t="shared" si="9"/>
        <v>0</v>
      </c>
      <c r="J64" s="893">
        <f>+H64*H$24+I64</f>
        <v>0</v>
      </c>
      <c r="K64" s="909">
        <f t="shared" si="1"/>
        <v>0</v>
      </c>
      <c r="L64" s="888">
        <f t="shared" si="2"/>
        <v>0</v>
      </c>
      <c r="M64" s="893">
        <f>+K64*K$24+L64</f>
        <v>0</v>
      </c>
      <c r="N64" s="909">
        <v>0</v>
      </c>
      <c r="O64" s="888">
        <f t="shared" si="10"/>
        <v>0</v>
      </c>
      <c r="P64" s="893">
        <f>+N64*N$24+O64</f>
        <v>0</v>
      </c>
      <c r="Q64" s="912">
        <f t="shared" si="3"/>
        <v>0</v>
      </c>
      <c r="R64" s="861"/>
      <c r="S64" s="913">
        <f>+Q64</f>
        <v>0</v>
      </c>
      <c r="T64" s="907"/>
    </row>
    <row r="65" spans="1:20">
      <c r="A65" s="846">
        <f t="shared" si="0"/>
        <v>50</v>
      </c>
      <c r="B65" s="906" t="str">
        <f t="shared" si="4"/>
        <v>2027W Increased ROE</v>
      </c>
      <c r="C65" s="907" t="str">
        <f t="shared" si="6"/>
        <v>W Increased ROE</v>
      </c>
      <c r="D65" s="914">
        <f t="shared" si="7"/>
        <v>2027</v>
      </c>
      <c r="E65" s="909">
        <f t="shared" si="8"/>
        <v>0</v>
      </c>
      <c r="F65" s="870">
        <f t="shared" si="5"/>
        <v>0</v>
      </c>
      <c r="G65" s="893">
        <f>+E65*E$25+F65</f>
        <v>0</v>
      </c>
      <c r="H65" s="909">
        <f>H64</f>
        <v>0</v>
      </c>
      <c r="I65" s="888">
        <f t="shared" si="9"/>
        <v>0</v>
      </c>
      <c r="J65" s="893">
        <f>+H65*H$25+I65</f>
        <v>0</v>
      </c>
      <c r="K65" s="909">
        <f t="shared" si="1"/>
        <v>0</v>
      </c>
      <c r="L65" s="888">
        <f t="shared" si="2"/>
        <v>0</v>
      </c>
      <c r="M65" s="893">
        <f>+K65*K$25+L65</f>
        <v>0</v>
      </c>
      <c r="N65" s="909">
        <v>0</v>
      </c>
      <c r="O65" s="888">
        <f t="shared" si="10"/>
        <v>0</v>
      </c>
      <c r="P65" s="893">
        <f>+N65*N$25+O65</f>
        <v>0</v>
      </c>
      <c r="Q65" s="912">
        <f t="shared" si="3"/>
        <v>0</v>
      </c>
      <c r="R65" s="915">
        <f>+Q65</f>
        <v>0</v>
      </c>
      <c r="S65" s="916"/>
      <c r="T65" s="917">
        <f>R65-S64</f>
        <v>0</v>
      </c>
    </row>
    <row r="66" spans="1:20">
      <c r="A66" s="846">
        <f t="shared" si="0"/>
        <v>51</v>
      </c>
      <c r="B66" s="906" t="str">
        <f t="shared" si="4"/>
        <v>2028W  9.8 % ROE</v>
      </c>
      <c r="C66" s="907" t="str">
        <f t="shared" si="6"/>
        <v>W  9.8 % ROE</v>
      </c>
      <c r="D66" s="914">
        <f t="shared" si="7"/>
        <v>2028</v>
      </c>
      <c r="E66" s="909">
        <f t="shared" si="8"/>
        <v>0</v>
      </c>
      <c r="F66" s="870">
        <f t="shared" si="5"/>
        <v>0</v>
      </c>
      <c r="G66" s="893">
        <f>+E66*E$24+F66</f>
        <v>0</v>
      </c>
      <c r="H66" s="909">
        <f>H65-(I65*0.5)</f>
        <v>0</v>
      </c>
      <c r="I66" s="888">
        <f t="shared" si="9"/>
        <v>0</v>
      </c>
      <c r="J66" s="893">
        <f>+H66*H$24+I66</f>
        <v>0</v>
      </c>
      <c r="K66" s="909">
        <f t="shared" si="1"/>
        <v>0</v>
      </c>
      <c r="L66" s="888">
        <f t="shared" si="2"/>
        <v>0</v>
      </c>
      <c r="M66" s="893">
        <f>+K66*K$24+L66</f>
        <v>0</v>
      </c>
      <c r="N66" s="909">
        <v>0</v>
      </c>
      <c r="O66" s="888">
        <f t="shared" si="10"/>
        <v>0</v>
      </c>
      <c r="P66" s="893">
        <f>+N66*N$24+O66</f>
        <v>0</v>
      </c>
      <c r="Q66" s="912">
        <f t="shared" si="3"/>
        <v>0</v>
      </c>
      <c r="R66" s="861"/>
      <c r="S66" s="913">
        <f>+Q66</f>
        <v>0</v>
      </c>
      <c r="T66" s="907"/>
    </row>
    <row r="67" spans="1:20">
      <c r="A67" s="846">
        <f t="shared" si="0"/>
        <v>52</v>
      </c>
      <c r="B67" s="906" t="str">
        <f t="shared" si="4"/>
        <v>2028W Increased ROE</v>
      </c>
      <c r="C67" s="907" t="str">
        <f t="shared" si="6"/>
        <v>W Increased ROE</v>
      </c>
      <c r="D67" s="914">
        <f t="shared" si="7"/>
        <v>2028</v>
      </c>
      <c r="E67" s="909">
        <f t="shared" si="8"/>
        <v>0</v>
      </c>
      <c r="F67" s="870">
        <f t="shared" si="5"/>
        <v>0</v>
      </c>
      <c r="G67" s="893">
        <f>+E67*E$25+F67</f>
        <v>0</v>
      </c>
      <c r="H67" s="909">
        <f>H66</f>
        <v>0</v>
      </c>
      <c r="I67" s="888">
        <f t="shared" si="9"/>
        <v>0</v>
      </c>
      <c r="J67" s="893">
        <f>+H67*H$25+I67</f>
        <v>0</v>
      </c>
      <c r="K67" s="909">
        <f t="shared" si="1"/>
        <v>0</v>
      </c>
      <c r="L67" s="888">
        <f t="shared" si="2"/>
        <v>0</v>
      </c>
      <c r="M67" s="893">
        <f>+K67*K$25+L67</f>
        <v>0</v>
      </c>
      <c r="N67" s="909">
        <v>0</v>
      </c>
      <c r="O67" s="888">
        <f t="shared" si="10"/>
        <v>0</v>
      </c>
      <c r="P67" s="893">
        <f>+N67*N$25+O67</f>
        <v>0</v>
      </c>
      <c r="Q67" s="912">
        <f t="shared" si="3"/>
        <v>0</v>
      </c>
      <c r="R67" s="915">
        <f>+Q67</f>
        <v>0</v>
      </c>
      <c r="S67" s="916"/>
      <c r="T67" s="917">
        <f>R67-S66</f>
        <v>0</v>
      </c>
    </row>
    <row r="68" spans="1:20">
      <c r="A68" s="846">
        <f t="shared" si="0"/>
        <v>53</v>
      </c>
      <c r="B68" s="906" t="str">
        <f t="shared" si="4"/>
        <v>2029W  9.8 % ROE</v>
      </c>
      <c r="C68" s="907" t="str">
        <f t="shared" si="6"/>
        <v>W  9.8 % ROE</v>
      </c>
      <c r="D68" s="914">
        <f t="shared" si="7"/>
        <v>2029</v>
      </c>
      <c r="E68" s="909">
        <f t="shared" si="8"/>
        <v>0</v>
      </c>
      <c r="F68" s="870">
        <f t="shared" si="5"/>
        <v>0</v>
      </c>
      <c r="G68" s="893">
        <f>+E68*E$24+F68</f>
        <v>0</v>
      </c>
      <c r="H68" s="909">
        <f>H67-(I67*0.5)</f>
        <v>0</v>
      </c>
      <c r="I68" s="888">
        <f t="shared" si="9"/>
        <v>0</v>
      </c>
      <c r="J68" s="893">
        <f>+H68*H$24+I68</f>
        <v>0</v>
      </c>
      <c r="K68" s="909">
        <f t="shared" si="1"/>
        <v>0</v>
      </c>
      <c r="L68" s="888">
        <f t="shared" si="2"/>
        <v>0</v>
      </c>
      <c r="M68" s="893">
        <f>+K68*K$24+L68</f>
        <v>0</v>
      </c>
      <c r="N68" s="909">
        <v>0</v>
      </c>
      <c r="O68" s="888">
        <f t="shared" si="10"/>
        <v>0</v>
      </c>
      <c r="P68" s="893">
        <f>+N68*N$24+O68</f>
        <v>0</v>
      </c>
      <c r="Q68" s="912">
        <f t="shared" si="3"/>
        <v>0</v>
      </c>
      <c r="R68" s="861"/>
      <c r="S68" s="913">
        <f>+Q68</f>
        <v>0</v>
      </c>
      <c r="T68" s="907"/>
    </row>
    <row r="69" spans="1:20">
      <c r="A69" s="846">
        <f t="shared" si="0"/>
        <v>54</v>
      </c>
      <c r="B69" s="906" t="str">
        <f t="shared" si="4"/>
        <v>2029W Increased ROE</v>
      </c>
      <c r="C69" s="907" t="str">
        <f t="shared" si="6"/>
        <v>W Increased ROE</v>
      </c>
      <c r="D69" s="914">
        <f t="shared" si="7"/>
        <v>2029</v>
      </c>
      <c r="E69" s="909">
        <f t="shared" si="8"/>
        <v>0</v>
      </c>
      <c r="F69" s="870">
        <f t="shared" si="5"/>
        <v>0</v>
      </c>
      <c r="G69" s="893">
        <f>+E69*E$25+F69</f>
        <v>0</v>
      </c>
      <c r="H69" s="909">
        <f>H68</f>
        <v>0</v>
      </c>
      <c r="I69" s="888">
        <f t="shared" si="9"/>
        <v>0</v>
      </c>
      <c r="J69" s="893">
        <f>+H69*H$25+I69</f>
        <v>0</v>
      </c>
      <c r="K69" s="909">
        <f t="shared" si="1"/>
        <v>0</v>
      </c>
      <c r="L69" s="888">
        <f t="shared" si="2"/>
        <v>0</v>
      </c>
      <c r="M69" s="893">
        <f>+K69*K$25+L69</f>
        <v>0</v>
      </c>
      <c r="N69" s="909">
        <v>0</v>
      </c>
      <c r="O69" s="888">
        <f t="shared" si="10"/>
        <v>0</v>
      </c>
      <c r="P69" s="893">
        <f>+N69*N$25+O69</f>
        <v>0</v>
      </c>
      <c r="Q69" s="912">
        <f t="shared" si="3"/>
        <v>0</v>
      </c>
      <c r="R69" s="915">
        <f>+Q69</f>
        <v>0</v>
      </c>
      <c r="S69" s="916"/>
      <c r="T69" s="917">
        <f>R69-S68</f>
        <v>0</v>
      </c>
    </row>
    <row r="70" spans="1:20">
      <c r="A70" s="846">
        <f t="shared" si="0"/>
        <v>55</v>
      </c>
      <c r="B70" s="847"/>
      <c r="C70" s="907"/>
      <c r="D70" s="923" t="s">
        <v>1030</v>
      </c>
      <c r="E70" s="924"/>
      <c r="F70" s="925"/>
      <c r="G70" s="925"/>
      <c r="H70" s="909">
        <v>0</v>
      </c>
      <c r="I70" s="888">
        <f>+I69</f>
        <v>0</v>
      </c>
      <c r="J70" s="890"/>
      <c r="K70" s="909">
        <f t="shared" si="1"/>
        <v>0</v>
      </c>
      <c r="L70" s="888">
        <f t="shared" si="2"/>
        <v>0</v>
      </c>
      <c r="M70" s="926" t="s">
        <v>1030</v>
      </c>
      <c r="N70" s="909">
        <v>0</v>
      </c>
      <c r="O70" s="888">
        <f t="shared" si="10"/>
        <v>0</v>
      </c>
      <c r="P70" s="870"/>
      <c r="Q70" s="912"/>
      <c r="R70" s="861"/>
      <c r="S70" s="913">
        <f>+Q70</f>
        <v>0</v>
      </c>
      <c r="T70" s="907"/>
    </row>
    <row r="71" spans="1:20" ht="15.75" thickBot="1">
      <c r="A71" s="846">
        <f t="shared" si="0"/>
        <v>56</v>
      </c>
      <c r="B71" s="847"/>
      <c r="C71" s="927"/>
      <c r="D71" s="928" t="s">
        <v>1030</v>
      </c>
      <c r="E71" s="929"/>
      <c r="F71" s="930"/>
      <c r="G71" s="930"/>
      <c r="H71" s="931">
        <v>0</v>
      </c>
      <c r="I71" s="930" t="s">
        <v>1031</v>
      </c>
      <c r="J71" s="932"/>
      <c r="K71" s="931">
        <v>0</v>
      </c>
      <c r="L71" s="930" t="s">
        <v>1031</v>
      </c>
      <c r="M71" s="933" t="s">
        <v>1030</v>
      </c>
      <c r="N71" s="931">
        <v>0</v>
      </c>
      <c r="O71" s="930" t="s">
        <v>1031</v>
      </c>
      <c r="P71" s="932"/>
      <c r="Q71" s="934"/>
      <c r="R71" s="935">
        <f>+Q71</f>
        <v>0</v>
      </c>
      <c r="S71" s="936"/>
      <c r="T71" s="937">
        <f>R71-S70</f>
        <v>0</v>
      </c>
    </row>
    <row r="72" spans="1:20">
      <c r="A72" s="846"/>
      <c r="B72" s="847"/>
      <c r="C72" s="862"/>
      <c r="D72" s="865"/>
      <c r="E72" s="865"/>
      <c r="F72" s="862"/>
      <c r="G72" s="862"/>
      <c r="H72" s="862"/>
      <c r="I72" s="862"/>
      <c r="J72" s="862"/>
      <c r="K72" s="862"/>
      <c r="L72" s="862"/>
      <c r="M72" s="938"/>
      <c r="N72" s="862"/>
      <c r="O72" s="862"/>
      <c r="P72" s="862"/>
      <c r="Q72" s="862"/>
      <c r="R72" s="939"/>
      <c r="S72" s="939"/>
    </row>
    <row r="73" spans="1:20">
      <c r="A73" s="846"/>
      <c r="B73" s="847"/>
      <c r="C73" s="862"/>
      <c r="D73" s="865"/>
      <c r="E73" s="865"/>
      <c r="F73" s="862"/>
      <c r="G73" s="862"/>
      <c r="H73" s="862"/>
      <c r="I73" s="862"/>
      <c r="J73" s="862"/>
      <c r="K73" s="862"/>
      <c r="L73" s="862"/>
      <c r="M73" s="938"/>
      <c r="N73" s="862"/>
      <c r="O73" s="862"/>
      <c r="P73" s="862"/>
      <c r="Q73" s="862"/>
      <c r="R73" s="939"/>
      <c r="S73" s="939"/>
    </row>
    <row r="74" spans="1:20">
      <c r="A74" s="846"/>
      <c r="B74" s="847"/>
      <c r="D74" s="846"/>
      <c r="E74" s="846"/>
      <c r="M74" s="848"/>
    </row>
    <row r="75" spans="1:20">
      <c r="A75" s="846"/>
      <c r="B75" s="847"/>
      <c r="D75" s="846"/>
      <c r="E75" s="846"/>
      <c r="M75" s="848"/>
    </row>
    <row r="76" spans="1:20">
      <c r="A76" s="846"/>
      <c r="B76" s="847"/>
      <c r="D76" s="846"/>
      <c r="E76" s="846"/>
      <c r="M76" s="848"/>
    </row>
    <row r="77" spans="1:20">
      <c r="A77" s="846"/>
      <c r="B77" s="847"/>
      <c r="D77" s="846"/>
      <c r="E77" s="846"/>
      <c r="M77" s="848"/>
    </row>
    <row r="78" spans="1:20">
      <c r="A78" s="846"/>
      <c r="B78" s="847"/>
      <c r="D78" s="846"/>
      <c r="E78" s="846"/>
      <c r="M78" s="848"/>
    </row>
    <row r="79" spans="1:20">
      <c r="A79" s="846"/>
      <c r="B79" s="847"/>
      <c r="D79" s="846"/>
      <c r="E79" s="846"/>
      <c r="M79" s="848"/>
    </row>
    <row r="80" spans="1:20">
      <c r="A80" s="846"/>
      <c r="B80" s="847"/>
      <c r="D80" s="846"/>
      <c r="E80" s="846"/>
      <c r="M80" s="848"/>
    </row>
    <row r="81" spans="1:13">
      <c r="A81" s="846"/>
      <c r="B81" s="847"/>
      <c r="D81" s="846"/>
      <c r="E81" s="846"/>
      <c r="M81" s="848"/>
    </row>
    <row r="82" spans="1:13">
      <c r="A82" s="846"/>
      <c r="B82" s="847"/>
      <c r="D82" s="846"/>
      <c r="E82" s="846"/>
      <c r="M82" s="848"/>
    </row>
    <row r="83" spans="1:13">
      <c r="A83" s="846"/>
      <c r="B83" s="847"/>
      <c r="D83" s="846"/>
      <c r="E83" s="846"/>
      <c r="M83" s="848"/>
    </row>
    <row r="84" spans="1:13">
      <c r="A84" s="846"/>
      <c r="B84" s="847"/>
      <c r="D84" s="846"/>
      <c r="E84" s="846"/>
      <c r="M84" s="848"/>
    </row>
    <row r="85" spans="1:13">
      <c r="A85" s="846"/>
      <c r="B85" s="847"/>
      <c r="D85" s="846"/>
      <c r="E85" s="846"/>
      <c r="M85" s="848"/>
    </row>
    <row r="86" spans="1:13">
      <c r="A86" s="846"/>
      <c r="B86" s="847"/>
      <c r="D86" s="846"/>
      <c r="E86" s="846"/>
      <c r="M86" s="848"/>
    </row>
    <row r="87" spans="1:13">
      <c r="A87" s="846"/>
      <c r="B87" s="847"/>
      <c r="D87" s="846"/>
      <c r="E87" s="846"/>
      <c r="M87" s="848"/>
    </row>
    <row r="88" spans="1:13">
      <c r="A88" s="846"/>
      <c r="B88" s="847"/>
      <c r="D88" s="846"/>
      <c r="E88" s="846"/>
      <c r="M88" s="848"/>
    </row>
    <row r="89" spans="1:13">
      <c r="A89" s="846"/>
      <c r="B89" s="847"/>
      <c r="D89" s="846"/>
      <c r="E89" s="846"/>
      <c r="M89" s="848"/>
    </row>
    <row r="90" spans="1:13">
      <c r="A90" s="846"/>
      <c r="B90" s="847"/>
      <c r="D90" s="846"/>
      <c r="E90" s="846"/>
      <c r="M90" s="848"/>
    </row>
    <row r="91" spans="1:13">
      <c r="A91" s="846"/>
      <c r="B91" s="847"/>
      <c r="D91" s="846"/>
      <c r="E91" s="846"/>
      <c r="M91" s="848"/>
    </row>
    <row r="92" spans="1:13">
      <c r="A92" s="846"/>
      <c r="B92" s="847"/>
      <c r="D92" s="846"/>
      <c r="E92" s="846"/>
      <c r="M92" s="848"/>
    </row>
    <row r="93" spans="1:13">
      <c r="A93" s="846"/>
      <c r="B93" s="847"/>
      <c r="D93" s="846"/>
      <c r="E93" s="846"/>
      <c r="M93" s="848"/>
    </row>
    <row r="94" spans="1:13">
      <c r="A94" s="846"/>
      <c r="B94" s="847"/>
      <c r="D94" s="846"/>
      <c r="E94" s="846"/>
      <c r="M94" s="848"/>
    </row>
    <row r="95" spans="1:13">
      <c r="A95" s="846"/>
      <c r="B95" s="847"/>
      <c r="D95" s="846"/>
      <c r="E95" s="846"/>
      <c r="M95" s="848"/>
    </row>
    <row r="96" spans="1:13">
      <c r="A96" s="846"/>
      <c r="B96" s="847"/>
      <c r="D96" s="846"/>
      <c r="E96" s="846"/>
      <c r="M96" s="848"/>
    </row>
    <row r="97" spans="1:13">
      <c r="A97" s="846"/>
      <c r="B97" s="847"/>
      <c r="D97" s="846"/>
      <c r="E97" s="846"/>
      <c r="M97" s="848"/>
    </row>
    <row r="98" spans="1:13">
      <c r="A98" s="846"/>
      <c r="B98" s="847"/>
      <c r="D98" s="846"/>
      <c r="E98" s="846"/>
      <c r="M98" s="848"/>
    </row>
    <row r="99" spans="1:13">
      <c r="A99" s="846"/>
      <c r="B99" s="847"/>
      <c r="D99" s="846"/>
      <c r="E99" s="846"/>
      <c r="M99" s="848"/>
    </row>
    <row r="100" spans="1:13">
      <c r="A100" s="846"/>
      <c r="B100" s="847"/>
      <c r="D100" s="846"/>
      <c r="E100" s="846"/>
      <c r="M100" s="848"/>
    </row>
    <row r="101" spans="1:13">
      <c r="A101" s="846"/>
      <c r="B101" s="847"/>
      <c r="D101" s="846"/>
      <c r="E101" s="846"/>
      <c r="M101" s="848"/>
    </row>
    <row r="102" spans="1:13">
      <c r="A102" s="846"/>
      <c r="B102" s="847"/>
      <c r="D102" s="846"/>
      <c r="E102" s="846"/>
      <c r="M102" s="848"/>
    </row>
    <row r="103" spans="1:13">
      <c r="A103" s="846"/>
      <c r="B103" s="847"/>
      <c r="D103" s="846"/>
      <c r="E103" s="846"/>
      <c r="M103" s="848"/>
    </row>
    <row r="104" spans="1:13">
      <c r="A104" s="846"/>
      <c r="B104" s="847"/>
      <c r="D104" s="846"/>
      <c r="E104" s="846"/>
      <c r="M104" s="848"/>
    </row>
    <row r="105" spans="1:13">
      <c r="A105" s="846"/>
      <c r="B105" s="847"/>
      <c r="D105" s="846"/>
      <c r="E105" s="846"/>
      <c r="M105" s="848"/>
    </row>
    <row r="106" spans="1:13">
      <c r="A106" s="846"/>
      <c r="B106" s="847"/>
      <c r="D106" s="846"/>
      <c r="E106" s="846"/>
      <c r="M106" s="848"/>
    </row>
    <row r="107" spans="1:13">
      <c r="A107" s="846"/>
      <c r="B107" s="847"/>
      <c r="D107" s="846"/>
      <c r="E107" s="846"/>
      <c r="M107" s="848"/>
    </row>
    <row r="108" spans="1:13">
      <c r="A108" s="846"/>
      <c r="B108" s="847"/>
      <c r="D108" s="846"/>
      <c r="E108" s="846"/>
      <c r="M108" s="848"/>
    </row>
    <row r="109" spans="1:13">
      <c r="A109" s="846"/>
      <c r="B109" s="847"/>
      <c r="D109" s="846"/>
      <c r="E109" s="846"/>
      <c r="M109" s="848"/>
    </row>
    <row r="110" spans="1:13">
      <c r="A110" s="846"/>
      <c r="B110" s="847"/>
      <c r="D110" s="846"/>
      <c r="E110" s="846"/>
      <c r="M110" s="848"/>
    </row>
    <row r="111" spans="1:13">
      <c r="A111" s="846"/>
      <c r="B111" s="847"/>
      <c r="D111" s="846"/>
      <c r="E111" s="846"/>
      <c r="M111" s="848"/>
    </row>
    <row r="112" spans="1:13">
      <c r="A112" s="846"/>
      <c r="B112" s="847"/>
      <c r="D112" s="846"/>
      <c r="E112" s="846"/>
      <c r="M112" s="848"/>
    </row>
    <row r="113" spans="1:13">
      <c r="A113" s="846"/>
      <c r="B113" s="847"/>
      <c r="D113" s="846"/>
      <c r="E113" s="846"/>
      <c r="M113" s="848"/>
    </row>
    <row r="114" spans="1:13">
      <c r="A114" s="846"/>
      <c r="B114" s="847"/>
      <c r="D114" s="846"/>
      <c r="E114" s="846"/>
      <c r="M114" s="848"/>
    </row>
    <row r="115" spans="1:13">
      <c r="A115" s="846"/>
      <c r="B115" s="847"/>
      <c r="D115" s="846"/>
      <c r="E115" s="846"/>
      <c r="M115" s="848"/>
    </row>
    <row r="116" spans="1:13">
      <c r="A116" s="846"/>
      <c r="B116" s="847"/>
      <c r="D116" s="846"/>
      <c r="E116" s="846"/>
      <c r="M116" s="848"/>
    </row>
    <row r="117" spans="1:13">
      <c r="A117" s="846"/>
      <c r="B117" s="847"/>
      <c r="D117" s="846"/>
      <c r="E117" s="846"/>
      <c r="M117" s="848"/>
    </row>
    <row r="118" spans="1:13">
      <c r="A118" s="846"/>
      <c r="B118" s="847"/>
      <c r="D118" s="846"/>
      <c r="E118" s="846"/>
      <c r="M118" s="848"/>
    </row>
    <row r="119" spans="1:13">
      <c r="A119" s="846"/>
      <c r="B119" s="847"/>
      <c r="D119" s="846"/>
      <c r="E119" s="846"/>
      <c r="M119" s="848"/>
    </row>
    <row r="120" spans="1:13">
      <c r="A120" s="846"/>
      <c r="B120" s="847"/>
      <c r="D120" s="846"/>
      <c r="E120" s="846"/>
      <c r="M120" s="848"/>
    </row>
    <row r="121" spans="1:13">
      <c r="A121" s="846"/>
      <c r="B121" s="847"/>
      <c r="D121" s="846"/>
      <c r="E121" s="846"/>
      <c r="M121" s="848"/>
    </row>
    <row r="122" spans="1:13">
      <c r="A122" s="846"/>
      <c r="B122" s="847"/>
      <c r="D122" s="846"/>
      <c r="E122" s="846"/>
      <c r="M122" s="848"/>
    </row>
    <row r="123" spans="1:13">
      <c r="A123" s="846"/>
      <c r="B123" s="847"/>
      <c r="D123" s="846"/>
      <c r="E123" s="846"/>
      <c r="M123" s="848"/>
    </row>
    <row r="124" spans="1:13">
      <c r="A124" s="846"/>
      <c r="B124" s="847"/>
      <c r="D124" s="846"/>
      <c r="E124" s="846"/>
      <c r="M124" s="848"/>
    </row>
    <row r="125" spans="1:13">
      <c r="A125" s="846"/>
      <c r="B125" s="847"/>
      <c r="D125" s="846"/>
      <c r="E125" s="846"/>
      <c r="M125" s="848"/>
    </row>
    <row r="126" spans="1:13">
      <c r="A126" s="846"/>
      <c r="B126" s="847"/>
      <c r="D126" s="846"/>
      <c r="E126" s="846"/>
      <c r="M126" s="848"/>
    </row>
    <row r="127" spans="1:13">
      <c r="A127" s="846"/>
      <c r="B127" s="847"/>
      <c r="D127" s="846"/>
      <c r="E127" s="846"/>
      <c r="M127" s="848"/>
    </row>
    <row r="128" spans="1:13">
      <c r="A128" s="846"/>
      <c r="B128" s="847"/>
      <c r="D128" s="846"/>
      <c r="E128" s="846"/>
      <c r="M128" s="848"/>
    </row>
    <row r="129" spans="1:13">
      <c r="A129" s="846"/>
      <c r="B129" s="847"/>
      <c r="D129" s="846"/>
      <c r="E129" s="846"/>
      <c r="M129" s="848"/>
    </row>
    <row r="130" spans="1:13">
      <c r="A130" s="846"/>
      <c r="B130" s="847"/>
      <c r="D130" s="846"/>
      <c r="E130" s="846"/>
      <c r="M130" s="848"/>
    </row>
    <row r="131" spans="1:13">
      <c r="A131" s="846"/>
      <c r="B131" s="847"/>
      <c r="D131" s="846"/>
      <c r="E131" s="846"/>
      <c r="M131" s="848"/>
    </row>
    <row r="132" spans="1:13">
      <c r="A132" s="846"/>
      <c r="B132" s="847"/>
      <c r="D132" s="846"/>
      <c r="E132" s="846"/>
      <c r="M132" s="848"/>
    </row>
    <row r="133" spans="1:13">
      <c r="A133" s="846"/>
      <c r="B133" s="847"/>
      <c r="D133" s="846"/>
      <c r="E133" s="846"/>
      <c r="M133" s="848"/>
    </row>
    <row r="134" spans="1:13">
      <c r="A134" s="846"/>
      <c r="B134" s="847"/>
      <c r="D134" s="846"/>
      <c r="E134" s="846"/>
      <c r="M134" s="848"/>
    </row>
    <row r="135" spans="1:13">
      <c r="A135" s="846"/>
      <c r="B135" s="847"/>
      <c r="D135" s="846"/>
      <c r="E135" s="846"/>
      <c r="M135" s="848"/>
    </row>
    <row r="136" spans="1:13">
      <c r="A136" s="846"/>
      <c r="B136" s="847"/>
      <c r="D136" s="846"/>
      <c r="E136" s="846"/>
      <c r="M136" s="848"/>
    </row>
    <row r="137" spans="1:13">
      <c r="A137" s="846"/>
      <c r="B137" s="847"/>
      <c r="D137" s="846"/>
      <c r="E137" s="846"/>
      <c r="M137" s="848"/>
    </row>
    <row r="138" spans="1:13">
      <c r="A138" s="846"/>
      <c r="B138" s="847"/>
      <c r="D138" s="846"/>
      <c r="E138" s="846"/>
      <c r="M138" s="848"/>
    </row>
    <row r="139" spans="1:13">
      <c r="A139" s="846"/>
      <c r="B139" s="847"/>
      <c r="D139" s="846"/>
      <c r="E139" s="846"/>
      <c r="M139" s="848"/>
    </row>
    <row r="140" spans="1:13">
      <c r="A140" s="846"/>
      <c r="B140" s="847"/>
      <c r="D140" s="846"/>
      <c r="E140" s="846"/>
      <c r="M140" s="848"/>
    </row>
    <row r="141" spans="1:13">
      <c r="A141" s="846"/>
      <c r="B141" s="847"/>
      <c r="D141" s="846"/>
      <c r="E141" s="846"/>
      <c r="M141" s="848"/>
    </row>
    <row r="142" spans="1:13">
      <c r="A142" s="846"/>
      <c r="B142" s="847"/>
      <c r="D142" s="846"/>
      <c r="E142" s="846"/>
      <c r="M142" s="848"/>
    </row>
    <row r="143" spans="1:13">
      <c r="A143" s="846"/>
      <c r="B143" s="847"/>
      <c r="D143" s="846"/>
      <c r="E143" s="846"/>
      <c r="M143" s="848"/>
    </row>
    <row r="144" spans="1:13">
      <c r="A144" s="846"/>
      <c r="B144" s="847"/>
      <c r="D144" s="846"/>
      <c r="E144" s="846"/>
      <c r="M144" s="848"/>
    </row>
    <row r="145" spans="1:13">
      <c r="A145" s="846"/>
      <c r="B145" s="847"/>
      <c r="D145" s="846"/>
      <c r="E145" s="846"/>
      <c r="M145" s="848"/>
    </row>
    <row r="146" spans="1:13">
      <c r="A146" s="846"/>
      <c r="B146" s="847"/>
      <c r="D146" s="846"/>
      <c r="E146" s="846"/>
      <c r="M146" s="848"/>
    </row>
    <row r="147" spans="1:13">
      <c r="A147" s="846"/>
      <c r="B147" s="847"/>
      <c r="D147" s="846"/>
      <c r="E147" s="846"/>
      <c r="M147" s="848"/>
    </row>
    <row r="148" spans="1:13">
      <c r="A148" s="846"/>
      <c r="B148" s="847"/>
      <c r="D148" s="846"/>
      <c r="E148" s="846"/>
      <c r="M148" s="848"/>
    </row>
    <row r="149" spans="1:13">
      <c r="A149" s="846"/>
      <c r="B149" s="847"/>
      <c r="D149" s="846"/>
      <c r="E149" s="846"/>
      <c r="M149" s="848"/>
    </row>
    <row r="150" spans="1:13">
      <c r="A150" s="846"/>
      <c r="B150" s="847"/>
      <c r="D150" s="846"/>
      <c r="E150" s="846"/>
      <c r="M150" s="848"/>
    </row>
    <row r="151" spans="1:13">
      <c r="A151" s="846"/>
      <c r="B151" s="847"/>
      <c r="D151" s="846"/>
      <c r="E151" s="846"/>
      <c r="M151" s="848"/>
    </row>
    <row r="152" spans="1:13">
      <c r="A152" s="846"/>
      <c r="B152" s="847"/>
      <c r="D152" s="846"/>
      <c r="E152" s="846"/>
      <c r="M152" s="848"/>
    </row>
    <row r="153" spans="1:13">
      <c r="A153" s="846"/>
      <c r="B153" s="847"/>
      <c r="D153" s="846"/>
      <c r="E153" s="846"/>
      <c r="M153" s="848"/>
    </row>
    <row r="154" spans="1:13">
      <c r="A154" s="846"/>
      <c r="B154" s="847"/>
      <c r="D154" s="846"/>
      <c r="E154" s="846"/>
      <c r="M154" s="848"/>
    </row>
    <row r="155" spans="1:13">
      <c r="A155" s="846"/>
      <c r="B155" s="847"/>
      <c r="D155" s="846"/>
      <c r="E155" s="846"/>
      <c r="M155" s="848"/>
    </row>
    <row r="156" spans="1:13">
      <c r="A156" s="846"/>
      <c r="B156" s="847"/>
      <c r="D156" s="846"/>
      <c r="E156" s="846"/>
      <c r="M156" s="848"/>
    </row>
    <row r="157" spans="1:13">
      <c r="A157" s="846"/>
      <c r="B157" s="847"/>
      <c r="D157" s="846"/>
      <c r="E157" s="846"/>
      <c r="M157" s="848"/>
    </row>
    <row r="158" spans="1:13">
      <c r="A158" s="846"/>
      <c r="B158" s="847"/>
      <c r="D158" s="846"/>
      <c r="E158" s="846"/>
      <c r="M158" s="848"/>
    </row>
    <row r="159" spans="1:13">
      <c r="A159" s="846"/>
      <c r="B159" s="847"/>
      <c r="D159" s="846"/>
      <c r="E159" s="846"/>
      <c r="M159" s="848"/>
    </row>
    <row r="160" spans="1:13">
      <c r="A160" s="846"/>
      <c r="B160" s="847"/>
      <c r="D160" s="846"/>
      <c r="E160" s="846"/>
      <c r="M160" s="848"/>
    </row>
    <row r="161" spans="1:13">
      <c r="A161" s="846"/>
      <c r="B161" s="847"/>
      <c r="D161" s="846"/>
      <c r="E161" s="846"/>
      <c r="M161" s="848"/>
    </row>
    <row r="162" spans="1:13">
      <c r="A162" s="846"/>
      <c r="B162" s="847"/>
      <c r="D162" s="846"/>
      <c r="E162" s="846"/>
      <c r="M162" s="848"/>
    </row>
    <row r="163" spans="1:13">
      <c r="A163" s="846"/>
      <c r="B163" s="847"/>
      <c r="D163" s="846"/>
      <c r="E163" s="846"/>
      <c r="M163" s="848"/>
    </row>
    <row r="164" spans="1:13">
      <c r="A164" s="846"/>
      <c r="B164" s="847"/>
      <c r="D164" s="846"/>
      <c r="E164" s="846"/>
      <c r="M164" s="848"/>
    </row>
    <row r="165" spans="1:13">
      <c r="A165" s="846"/>
      <c r="B165" s="847"/>
      <c r="D165" s="846"/>
      <c r="E165" s="846"/>
      <c r="M165" s="848"/>
    </row>
    <row r="166" spans="1:13">
      <c r="A166" s="846"/>
      <c r="B166" s="847"/>
      <c r="D166" s="846"/>
      <c r="E166" s="846"/>
      <c r="M166" s="848"/>
    </row>
    <row r="167" spans="1:13">
      <c r="A167" s="846"/>
      <c r="B167" s="847"/>
      <c r="D167" s="846"/>
      <c r="E167" s="846"/>
      <c r="M167" s="848"/>
    </row>
  </sheetData>
  <mergeCells count="4">
    <mergeCell ref="E20:G20"/>
    <mergeCell ref="H20:J20"/>
    <mergeCell ref="K20:M20"/>
    <mergeCell ref="N20:P20"/>
  </mergeCells>
  <pageMargins left="0.7" right="0.7" top="0.75" bottom="0.75" header="0.3" footer="0.3"/>
  <pageSetup scale="38"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A54"/>
  <sheetViews>
    <sheetView zoomScaleNormal="100" workbookViewId="0">
      <selection activeCell="C51" sqref="C51:S51"/>
    </sheetView>
  </sheetViews>
  <sheetFormatPr defaultColWidth="9.140625" defaultRowHeight="12.75"/>
  <cols>
    <col min="1" max="1" width="2.42578125" style="1825" customWidth="1"/>
    <col min="2" max="2" width="5.140625" style="1825" customWidth="1"/>
    <col min="3" max="3" width="6.5703125" style="1825" customWidth="1"/>
    <col min="4" max="4" width="47" style="1825" customWidth="1"/>
    <col min="5" max="5" width="16.5703125" style="1825" customWidth="1"/>
    <col min="6" max="6" width="9.5703125" style="1825" customWidth="1"/>
    <col min="7" max="7" width="1.28515625" style="1825" customWidth="1"/>
    <col min="8" max="8" width="15.42578125" style="1825" customWidth="1"/>
    <col min="9" max="9" width="9.5703125" style="1825" customWidth="1"/>
    <col min="10" max="10" width="1.28515625" style="1825" customWidth="1"/>
    <col min="11" max="11" width="15.42578125" style="1825" customWidth="1"/>
    <col min="12" max="12" width="9.5703125" style="1825" customWidth="1"/>
    <col min="13" max="13" width="1.28515625" style="1825" customWidth="1"/>
    <col min="14" max="14" width="16.5703125" style="1825" customWidth="1"/>
    <col min="15" max="15" width="9.5703125" style="1825" customWidth="1"/>
    <col min="16" max="16" width="1.28515625" style="1825" customWidth="1"/>
    <col min="17" max="17" width="15.42578125" style="1825" customWidth="1"/>
    <col min="18" max="18" width="9.5703125" style="1825" customWidth="1"/>
    <col min="19" max="19" width="1.28515625" style="1825" customWidth="1"/>
    <col min="20" max="20" width="15.42578125" style="1825" customWidth="1"/>
    <col min="21" max="21" width="9.5703125" style="1825" customWidth="1"/>
    <col min="22" max="22" width="1.28515625" style="1825" customWidth="1"/>
    <col min="23" max="23" width="15.42578125" style="1825" customWidth="1"/>
    <col min="24" max="24" width="9.5703125" style="1825" customWidth="1"/>
    <col min="25" max="25" width="1.28515625" style="1825" customWidth="1"/>
    <col min="26" max="26" width="15.42578125" style="1825" customWidth="1"/>
    <col min="27" max="27" width="3" style="1825" customWidth="1"/>
    <col min="28" max="28" width="9.140625" style="1825"/>
    <col min="29" max="29" width="16.140625" style="1825" bestFit="1" customWidth="1"/>
    <col min="30" max="16384" width="9.140625" style="1825"/>
  </cols>
  <sheetData>
    <row r="1" spans="1:27" ht="15.75">
      <c r="A1" s="940" t="s">
        <v>2</v>
      </c>
      <c r="B1" s="940"/>
      <c r="C1" s="940"/>
      <c r="D1" s="940"/>
      <c r="E1" s="940"/>
      <c r="F1" s="940"/>
      <c r="G1" s="940"/>
      <c r="H1" s="940"/>
      <c r="I1" s="940"/>
      <c r="J1" s="940"/>
      <c r="K1" s="940"/>
      <c r="L1" s="940"/>
      <c r="M1" s="940"/>
      <c r="N1" s="940"/>
      <c r="O1" s="940"/>
      <c r="P1" s="940"/>
      <c r="Q1" s="940"/>
      <c r="R1" s="940"/>
      <c r="S1" s="940"/>
      <c r="T1" s="940"/>
      <c r="U1" s="940"/>
      <c r="V1" s="940"/>
      <c r="W1" s="940"/>
      <c r="X1" s="940"/>
      <c r="Y1" s="940"/>
      <c r="Z1" s="1568"/>
    </row>
    <row r="2" spans="1:27" ht="15.75">
      <c r="A2" s="940" t="s">
        <v>1032</v>
      </c>
      <c r="B2" s="940"/>
      <c r="C2" s="940"/>
      <c r="D2" s="940"/>
      <c r="E2" s="940"/>
      <c r="F2" s="940"/>
      <c r="G2" s="940"/>
      <c r="H2" s="940"/>
      <c r="I2" s="940"/>
      <c r="J2" s="940"/>
      <c r="K2" s="940"/>
      <c r="L2" s="940"/>
      <c r="M2" s="940"/>
      <c r="N2" s="940"/>
      <c r="O2" s="940"/>
      <c r="P2" s="940"/>
      <c r="Q2" s="940"/>
      <c r="R2" s="940"/>
      <c r="S2" s="940"/>
      <c r="T2" s="940"/>
      <c r="U2" s="940"/>
      <c r="V2" s="940"/>
      <c r="W2" s="940"/>
      <c r="X2" s="940"/>
      <c r="Y2" s="940"/>
      <c r="Z2" s="940"/>
    </row>
    <row r="3" spans="1:27">
      <c r="A3" s="941"/>
      <c r="B3" s="941"/>
      <c r="C3" s="941"/>
      <c r="D3" s="941"/>
      <c r="E3" s="941"/>
      <c r="F3" s="941"/>
      <c r="G3" s="941"/>
      <c r="H3" s="941"/>
      <c r="I3" s="941"/>
      <c r="J3" s="941"/>
      <c r="K3" s="941"/>
      <c r="L3" s="941"/>
      <c r="M3" s="941"/>
      <c r="N3" s="941"/>
      <c r="O3" s="941"/>
      <c r="P3" s="941"/>
      <c r="Q3" s="941"/>
      <c r="R3" s="941"/>
      <c r="S3" s="941"/>
      <c r="T3" s="941"/>
      <c r="U3" s="941"/>
      <c r="V3" s="941"/>
      <c r="W3" s="941"/>
      <c r="X3" s="941"/>
      <c r="Y3" s="941"/>
    </row>
    <row r="4" spans="1:27" ht="15.75">
      <c r="A4" s="940" t="s">
        <v>2185</v>
      </c>
      <c r="B4" s="940"/>
      <c r="C4" s="940"/>
      <c r="D4" s="940"/>
      <c r="E4" s="940"/>
      <c r="F4" s="940"/>
      <c r="G4" s="940"/>
      <c r="H4" s="940"/>
      <c r="I4" s="940"/>
      <c r="J4" s="940"/>
      <c r="K4" s="940"/>
      <c r="L4" s="940"/>
      <c r="M4" s="940"/>
      <c r="N4" s="940"/>
      <c r="O4" s="940"/>
      <c r="P4" s="940"/>
      <c r="Q4" s="940"/>
      <c r="R4" s="940"/>
      <c r="S4" s="940"/>
      <c r="T4" s="940"/>
      <c r="U4" s="940"/>
      <c r="V4" s="940"/>
      <c r="W4" s="940"/>
      <c r="X4" s="940"/>
      <c r="Y4" s="940"/>
      <c r="Z4" s="1568"/>
    </row>
    <row r="5" spans="1:27">
      <c r="A5" s="941"/>
      <c r="B5" s="941"/>
      <c r="C5" s="941"/>
      <c r="D5" s="941"/>
      <c r="E5" s="941"/>
      <c r="F5" s="941"/>
      <c r="G5" s="941"/>
      <c r="H5" s="941"/>
      <c r="I5" s="941"/>
      <c r="J5" s="941"/>
      <c r="K5" s="941"/>
      <c r="L5" s="941"/>
      <c r="M5" s="941"/>
      <c r="N5" s="941"/>
      <c r="O5" s="941"/>
      <c r="P5" s="941"/>
      <c r="Q5" s="941"/>
      <c r="R5" s="941"/>
      <c r="S5" s="941"/>
      <c r="T5" s="941"/>
      <c r="U5" s="941"/>
      <c r="V5" s="941"/>
      <c r="W5" s="941"/>
      <c r="X5" s="941"/>
      <c r="Y5" s="941"/>
    </row>
    <row r="6" spans="1:27" ht="13.5" thickBot="1">
      <c r="A6" s="1568"/>
      <c r="B6" s="942"/>
      <c r="C6" s="942"/>
      <c r="D6" s="942"/>
      <c r="E6" s="1568"/>
      <c r="F6" s="1568"/>
      <c r="G6" s="1568"/>
      <c r="H6" s="1568"/>
      <c r="I6" s="1568"/>
      <c r="J6" s="1568"/>
      <c r="K6" s="1568"/>
      <c r="L6" s="1568"/>
      <c r="M6" s="1568"/>
      <c r="N6" s="1568"/>
      <c r="O6" s="1568"/>
      <c r="P6" s="1568"/>
      <c r="Q6" s="1568"/>
      <c r="R6" s="1568"/>
      <c r="S6" s="1568"/>
      <c r="T6" s="1568"/>
      <c r="U6" s="1568"/>
      <c r="V6" s="1568"/>
      <c r="W6" s="1568"/>
      <c r="X6" s="1568"/>
      <c r="Y6" s="1568"/>
      <c r="Z6" s="1568"/>
    </row>
    <row r="7" spans="1:27" ht="13.5" thickBot="1">
      <c r="B7" s="943" t="s">
        <v>1805</v>
      </c>
      <c r="C7" s="943"/>
      <c r="D7" s="943"/>
      <c r="E7" s="1963" t="s">
        <v>1033</v>
      </c>
      <c r="F7" s="1964"/>
      <c r="H7" s="1963" t="s">
        <v>1034</v>
      </c>
      <c r="I7" s="1965"/>
      <c r="K7" s="1963" t="s">
        <v>1035</v>
      </c>
      <c r="L7" s="1965"/>
      <c r="N7" s="1963" t="s">
        <v>1036</v>
      </c>
      <c r="O7" s="1965"/>
      <c r="Q7" s="1963" t="s">
        <v>1037</v>
      </c>
      <c r="R7" s="1965"/>
      <c r="T7" s="1963" t="s">
        <v>1038</v>
      </c>
      <c r="U7" s="1965"/>
      <c r="W7" s="1963" t="s">
        <v>1039</v>
      </c>
      <c r="X7" s="1965"/>
      <c r="Z7" s="944" t="s">
        <v>363</v>
      </c>
    </row>
    <row r="8" spans="1:27" ht="13.5" thickBot="1">
      <c r="B8" s="1569" t="s">
        <v>1040</v>
      </c>
      <c r="C8" s="1570" t="s">
        <v>1041</v>
      </c>
      <c r="D8" s="1571" t="s">
        <v>284</v>
      </c>
      <c r="E8" s="1572" t="s">
        <v>790</v>
      </c>
      <c r="F8" s="1573" t="s">
        <v>1042</v>
      </c>
      <c r="G8" s="1574"/>
      <c r="H8" s="1572" t="s">
        <v>790</v>
      </c>
      <c r="I8" s="1573" t="s">
        <v>1043</v>
      </c>
      <c r="J8" s="1574"/>
      <c r="K8" s="1572" t="s">
        <v>790</v>
      </c>
      <c r="L8" s="1573" t="s">
        <v>1042</v>
      </c>
      <c r="M8" s="1574"/>
      <c r="N8" s="1572" t="s">
        <v>790</v>
      </c>
      <c r="O8" s="1573" t="s">
        <v>1043</v>
      </c>
      <c r="P8" s="1574"/>
      <c r="Q8" s="1572" t="s">
        <v>790</v>
      </c>
      <c r="R8" s="1573" t="s">
        <v>1042</v>
      </c>
      <c r="S8" s="1574"/>
      <c r="T8" s="1572" t="s">
        <v>790</v>
      </c>
      <c r="U8" s="1573" t="s">
        <v>1042</v>
      </c>
      <c r="V8" s="1574"/>
      <c r="W8" s="1572" t="s">
        <v>790</v>
      </c>
      <c r="X8" s="1575" t="s">
        <v>1043</v>
      </c>
      <c r="Y8" s="1574"/>
      <c r="Z8" s="1576" t="s">
        <v>1043</v>
      </c>
    </row>
    <row r="9" spans="1:27" ht="13.5" thickBot="1">
      <c r="B9" s="1577"/>
      <c r="C9" s="1578"/>
      <c r="D9" s="1579"/>
      <c r="E9" s="1580" t="s">
        <v>1044</v>
      </c>
      <c r="F9" s="1581" t="s">
        <v>1045</v>
      </c>
      <c r="H9" s="1580" t="s">
        <v>1046</v>
      </c>
      <c r="I9" s="1581" t="s">
        <v>1047</v>
      </c>
      <c r="K9" s="1580" t="s">
        <v>1048</v>
      </c>
      <c r="L9" s="1581" t="s">
        <v>1049</v>
      </c>
      <c r="N9" s="1580" t="s">
        <v>1050</v>
      </c>
      <c r="O9" s="1581" t="s">
        <v>1051</v>
      </c>
      <c r="Q9" s="1580" t="s">
        <v>1052</v>
      </c>
      <c r="R9" s="1581" t="s">
        <v>1053</v>
      </c>
      <c r="T9" s="1580" t="s">
        <v>1054</v>
      </c>
      <c r="U9" s="1581" t="s">
        <v>1055</v>
      </c>
      <c r="W9" s="1580" t="s">
        <v>1056</v>
      </c>
      <c r="X9" s="1581" t="s">
        <v>1057</v>
      </c>
      <c r="Z9" s="1582" t="s">
        <v>1058</v>
      </c>
      <c r="AA9" s="943"/>
    </row>
    <row r="10" spans="1:27" ht="14.25" customHeight="1">
      <c r="B10" s="1583">
        <v>1</v>
      </c>
      <c r="C10" s="1584">
        <v>350.2</v>
      </c>
      <c r="D10" s="1585" t="s">
        <v>1059</v>
      </c>
      <c r="E10" s="945"/>
      <c r="F10" s="946"/>
      <c r="G10" s="947"/>
      <c r="H10" s="945"/>
      <c r="I10" s="946"/>
      <c r="J10" s="947"/>
      <c r="K10" s="945"/>
      <c r="L10" s="946"/>
      <c r="M10" s="947"/>
      <c r="N10" s="945"/>
      <c r="O10" s="946"/>
      <c r="P10" s="947"/>
      <c r="Q10" s="945"/>
      <c r="R10" s="946"/>
      <c r="S10" s="947"/>
      <c r="T10" s="945"/>
      <c r="U10" s="946"/>
      <c r="V10" s="947"/>
      <c r="W10" s="945"/>
      <c r="X10" s="946"/>
      <c r="Y10" s="947"/>
      <c r="Z10" s="1586">
        <v>1.06E-2</v>
      </c>
    </row>
    <row r="11" spans="1:27" ht="14.25" customHeight="1">
      <c r="B11" s="1587">
        <v>2</v>
      </c>
      <c r="C11" s="1588">
        <v>352</v>
      </c>
      <c r="D11" s="1589" t="s">
        <v>1060</v>
      </c>
      <c r="E11" s="948"/>
      <c r="F11" s="1590"/>
      <c r="G11" s="949"/>
      <c r="H11" s="948"/>
      <c r="I11" s="1590"/>
      <c r="J11" s="949"/>
      <c r="K11" s="948"/>
      <c r="L11" s="1590"/>
      <c r="M11" s="949"/>
      <c r="N11" s="948"/>
      <c r="O11" s="1590"/>
      <c r="P11" s="949"/>
      <c r="Q11" s="948"/>
      <c r="R11" s="1590"/>
      <c r="S11" s="949"/>
      <c r="T11" s="948"/>
      <c r="U11" s="1590"/>
      <c r="V11" s="949"/>
      <c r="W11" s="948"/>
      <c r="X11" s="1590"/>
      <c r="Y11" s="949"/>
      <c r="Z11" s="1591">
        <v>1.3599999999999999E-2</v>
      </c>
    </row>
    <row r="12" spans="1:27" ht="14.25" customHeight="1">
      <c r="B12" s="1587">
        <v>3</v>
      </c>
      <c r="C12" s="1588">
        <v>353</v>
      </c>
      <c r="D12" s="1589" t="s">
        <v>1061</v>
      </c>
      <c r="E12" s="948"/>
      <c r="F12" s="1590"/>
      <c r="G12" s="949"/>
      <c r="H12" s="948"/>
      <c r="I12" s="1590"/>
      <c r="J12" s="949"/>
      <c r="K12" s="948"/>
      <c r="L12" s="1590"/>
      <c r="M12" s="949"/>
      <c r="N12" s="948"/>
      <c r="O12" s="1590"/>
      <c r="P12" s="949"/>
      <c r="Q12" s="948"/>
      <c r="R12" s="1590"/>
      <c r="S12" s="949"/>
      <c r="T12" s="948"/>
      <c r="U12" s="1590"/>
      <c r="V12" s="949"/>
      <c r="W12" s="948"/>
      <c r="X12" s="1590"/>
      <c r="Y12" s="949"/>
      <c r="Z12" s="1591">
        <v>1.78E-2</v>
      </c>
    </row>
    <row r="13" spans="1:27" ht="14.25" customHeight="1">
      <c r="B13" s="1587">
        <v>4</v>
      </c>
      <c r="C13" s="1588">
        <v>354</v>
      </c>
      <c r="D13" s="1589" t="s">
        <v>1062</v>
      </c>
      <c r="E13" s="948"/>
      <c r="F13" s="1590"/>
      <c r="G13" s="949"/>
      <c r="H13" s="948"/>
      <c r="I13" s="1590"/>
      <c r="J13" s="949"/>
      <c r="K13" s="948"/>
      <c r="L13" s="1590"/>
      <c r="M13" s="949"/>
      <c r="N13" s="948"/>
      <c r="O13" s="1590"/>
      <c r="P13" s="949"/>
      <c r="Q13" s="948"/>
      <c r="R13" s="1590"/>
      <c r="S13" s="949"/>
      <c r="T13" s="948"/>
      <c r="U13" s="1590"/>
      <c r="V13" s="949"/>
      <c r="W13" s="948"/>
      <c r="X13" s="1590"/>
      <c r="Y13" s="949"/>
      <c r="Z13" s="1591">
        <v>1.44E-2</v>
      </c>
    </row>
    <row r="14" spans="1:27" ht="14.25" customHeight="1">
      <c r="B14" s="1587">
        <v>5</v>
      </c>
      <c r="C14" s="1588">
        <v>355</v>
      </c>
      <c r="D14" s="1589" t="s">
        <v>1063</v>
      </c>
      <c r="E14" s="948"/>
      <c r="F14" s="1590"/>
      <c r="G14" s="949"/>
      <c r="H14" s="948"/>
      <c r="I14" s="1590"/>
      <c r="J14" s="949"/>
      <c r="K14" s="948"/>
      <c r="L14" s="1590"/>
      <c r="M14" s="949"/>
      <c r="N14" s="948"/>
      <c r="O14" s="1590"/>
      <c r="P14" s="949"/>
      <c r="Q14" s="948"/>
      <c r="R14" s="1590"/>
      <c r="S14" s="949"/>
      <c r="T14" s="948"/>
      <c r="U14" s="1590"/>
      <c r="V14" s="949"/>
      <c r="W14" s="948"/>
      <c r="X14" s="1590"/>
      <c r="Y14" s="949"/>
      <c r="Z14" s="1591">
        <v>2.1499999999999998E-2</v>
      </c>
    </row>
    <row r="15" spans="1:27" ht="14.25" customHeight="1">
      <c r="B15" s="1587">
        <v>6</v>
      </c>
      <c r="C15" s="1588">
        <v>356</v>
      </c>
      <c r="D15" s="1589" t="s">
        <v>1064</v>
      </c>
      <c r="E15" s="948"/>
      <c r="F15" s="1590"/>
      <c r="G15" s="949"/>
      <c r="H15" s="948"/>
      <c r="I15" s="1590"/>
      <c r="J15" s="949"/>
      <c r="K15" s="948"/>
      <c r="L15" s="1590"/>
      <c r="M15" s="949"/>
      <c r="N15" s="948"/>
      <c r="O15" s="1590"/>
      <c r="P15" s="949"/>
      <c r="Q15" s="948"/>
      <c r="R15" s="1590"/>
      <c r="S15" s="949"/>
      <c r="T15" s="948"/>
      <c r="U15" s="1590"/>
      <c r="V15" s="949"/>
      <c r="W15" s="948"/>
      <c r="X15" s="1590"/>
      <c r="Y15" s="949"/>
      <c r="Z15" s="1591">
        <v>1.8100000000000002E-2</v>
      </c>
    </row>
    <row r="16" spans="1:27" ht="14.25" customHeight="1">
      <c r="B16" s="1587">
        <v>7</v>
      </c>
      <c r="C16" s="1588">
        <v>357</v>
      </c>
      <c r="D16" s="1589" t="s">
        <v>1065</v>
      </c>
      <c r="E16" s="948"/>
      <c r="F16" s="1590"/>
      <c r="G16" s="949"/>
      <c r="H16" s="948"/>
      <c r="I16" s="1590"/>
      <c r="J16" s="949"/>
      <c r="K16" s="948"/>
      <c r="L16" s="1590"/>
      <c r="M16" s="949"/>
      <c r="N16" s="948"/>
      <c r="O16" s="1590"/>
      <c r="P16" s="949"/>
      <c r="Q16" s="948"/>
      <c r="R16" s="1590"/>
      <c r="S16" s="949"/>
      <c r="T16" s="948"/>
      <c r="U16" s="1590"/>
      <c r="V16" s="949"/>
      <c r="W16" s="948"/>
      <c r="X16" s="1590"/>
      <c r="Y16" s="949"/>
      <c r="Z16" s="1591">
        <v>1.55E-2</v>
      </c>
    </row>
    <row r="17" spans="2:26" ht="14.25" customHeight="1">
      <c r="B17" s="1587">
        <v>8</v>
      </c>
      <c r="C17" s="1588">
        <v>358</v>
      </c>
      <c r="D17" s="1589" t="s">
        <v>1066</v>
      </c>
      <c r="E17" s="948"/>
      <c r="F17" s="1590"/>
      <c r="G17" s="949"/>
      <c r="H17" s="948"/>
      <c r="I17" s="1590"/>
      <c r="J17" s="949"/>
      <c r="K17" s="948"/>
      <c r="L17" s="1590"/>
      <c r="M17" s="949"/>
      <c r="N17" s="948"/>
      <c r="O17" s="1590"/>
      <c r="P17" s="949"/>
      <c r="Q17" s="948"/>
      <c r="R17" s="1590"/>
      <c r="S17" s="949"/>
      <c r="T17" s="948"/>
      <c r="U17" s="1590"/>
      <c r="V17" s="949"/>
      <c r="W17" s="948"/>
      <c r="X17" s="1590"/>
      <c r="Y17" s="949"/>
      <c r="Z17" s="1591">
        <v>1.61E-2</v>
      </c>
    </row>
    <row r="18" spans="2:26" ht="14.25" customHeight="1">
      <c r="B18" s="1587">
        <v>9</v>
      </c>
      <c r="C18" s="1588">
        <v>359</v>
      </c>
      <c r="D18" s="1589" t="s">
        <v>1067</v>
      </c>
      <c r="E18" s="948"/>
      <c r="F18" s="1590"/>
      <c r="G18" s="949"/>
      <c r="H18" s="948"/>
      <c r="I18" s="1590"/>
      <c r="J18" s="949"/>
      <c r="K18" s="948"/>
      <c r="L18" s="1590"/>
      <c r="M18" s="949"/>
      <c r="N18" s="948"/>
      <c r="O18" s="1590"/>
      <c r="P18" s="949"/>
      <c r="Q18" s="948"/>
      <c r="R18" s="1590"/>
      <c r="S18" s="949"/>
      <c r="T18" s="948"/>
      <c r="U18" s="1590"/>
      <c r="V18" s="949"/>
      <c r="W18" s="948"/>
      <c r="X18" s="1590"/>
      <c r="Y18" s="949"/>
      <c r="Z18" s="1591">
        <v>1.21E-2</v>
      </c>
    </row>
    <row r="19" spans="2:26" ht="14.25" customHeight="1">
      <c r="B19" s="1587">
        <v>10</v>
      </c>
      <c r="C19" s="1588"/>
      <c r="D19" s="1589" t="s">
        <v>1068</v>
      </c>
      <c r="E19" s="948"/>
      <c r="F19" s="1590"/>
      <c r="G19" s="949"/>
      <c r="H19" s="948"/>
      <c r="I19" s="1590"/>
      <c r="J19" s="949"/>
      <c r="K19" s="948"/>
      <c r="L19" s="1590"/>
      <c r="M19" s="949"/>
      <c r="N19" s="948"/>
      <c r="O19" s="1590"/>
      <c r="P19" s="949"/>
      <c r="Q19" s="948"/>
      <c r="R19" s="1590"/>
      <c r="S19" s="949"/>
      <c r="T19" s="948"/>
      <c r="U19" s="1590"/>
      <c r="V19" s="949"/>
      <c r="W19" s="948"/>
      <c r="X19" s="1590"/>
      <c r="Y19" s="949"/>
      <c r="Z19" s="1591">
        <v>1.7299999999999999E-2</v>
      </c>
    </row>
    <row r="20" spans="2:26" ht="14.25" customHeight="1">
      <c r="B20" s="1587"/>
      <c r="C20" s="1588"/>
      <c r="D20" s="1589"/>
      <c r="E20" s="1592"/>
      <c r="F20" s="1593"/>
      <c r="G20" s="949"/>
      <c r="H20" s="1592"/>
      <c r="I20" s="1590"/>
      <c r="J20" s="949"/>
      <c r="K20" s="1592"/>
      <c r="L20" s="1590"/>
      <c r="M20" s="949"/>
      <c r="N20" s="1592"/>
      <c r="O20" s="1590"/>
      <c r="P20" s="949"/>
      <c r="Q20" s="1592"/>
      <c r="R20" s="1590"/>
      <c r="S20" s="949"/>
      <c r="T20" s="1592"/>
      <c r="U20" s="1590"/>
      <c r="V20" s="949"/>
      <c r="W20" s="1592"/>
      <c r="X20" s="1590"/>
      <c r="Y20" s="949"/>
      <c r="Z20" s="1591"/>
    </row>
    <row r="21" spans="2:26" ht="14.25" customHeight="1">
      <c r="B21" s="1587">
        <v>11</v>
      </c>
      <c r="C21" s="1588">
        <v>389.2</v>
      </c>
      <c r="D21" s="1589" t="s">
        <v>1059</v>
      </c>
      <c r="E21" s="1827">
        <v>1200</v>
      </c>
      <c r="F21" s="1590">
        <v>1.8200000000000001E-2</v>
      </c>
      <c r="G21" s="949"/>
      <c r="H21" s="1827">
        <v>95314.98</v>
      </c>
      <c r="I21" s="1590">
        <v>2.5000000000000001E-2</v>
      </c>
      <c r="J21" s="949"/>
      <c r="K21" s="1827"/>
      <c r="L21" s="1590">
        <v>0</v>
      </c>
      <c r="M21" s="949"/>
      <c r="N21" s="1827">
        <v>97061.28</v>
      </c>
      <c r="O21" s="1590">
        <v>2.0500000000000001E-2</v>
      </c>
      <c r="P21" s="949"/>
      <c r="Q21" s="1827">
        <v>74314.75</v>
      </c>
      <c r="R21" s="1590">
        <v>1.8700000000000001E-2</v>
      </c>
      <c r="S21" s="949"/>
      <c r="T21" s="1827"/>
      <c r="U21" s="1590">
        <v>0</v>
      </c>
      <c r="V21" s="949"/>
      <c r="W21" s="1827">
        <v>4867.6400000000003</v>
      </c>
      <c r="X21" s="1590">
        <v>1.7000000000000001E-2</v>
      </c>
      <c r="Y21" s="949"/>
      <c r="Z21" s="1591"/>
    </row>
    <row r="22" spans="2:26" ht="14.25" customHeight="1">
      <c r="B22" s="1587">
        <v>12</v>
      </c>
      <c r="C22" s="1588">
        <v>390</v>
      </c>
      <c r="D22" s="1589" t="s">
        <v>1060</v>
      </c>
      <c r="E22" s="1827">
        <v>112527102.89</v>
      </c>
      <c r="F22" s="1590">
        <v>2.07E-2</v>
      </c>
      <c r="G22" s="949"/>
      <c r="H22" s="1827">
        <v>14131637.789999999</v>
      </c>
      <c r="I22" s="1590">
        <v>2.06E-2</v>
      </c>
      <c r="J22" s="949"/>
      <c r="K22" s="1827">
        <v>4367466.66</v>
      </c>
      <c r="L22" s="1590">
        <v>1.9900000000000001E-2</v>
      </c>
      <c r="M22" s="949"/>
      <c r="N22" s="1827">
        <v>105004980.08</v>
      </c>
      <c r="O22" s="1590">
        <v>2.5499999999999998E-2</v>
      </c>
      <c r="P22" s="949"/>
      <c r="Q22" s="1827">
        <v>21893351.379999999</v>
      </c>
      <c r="R22" s="1590">
        <v>2.2800000000000001E-2</v>
      </c>
      <c r="S22" s="949"/>
      <c r="T22" s="1827">
        <v>243969.90999999997</v>
      </c>
      <c r="U22" s="1590">
        <v>1.7600000000000001E-2</v>
      </c>
      <c r="V22" s="949"/>
      <c r="W22" s="1827">
        <v>15582126.52</v>
      </c>
      <c r="X22" s="1590">
        <v>1.84E-2</v>
      </c>
      <c r="Y22" s="949"/>
      <c r="Z22" s="1591"/>
    </row>
    <row r="23" spans="2:26" ht="14.25" customHeight="1">
      <c r="B23" s="1587">
        <v>13</v>
      </c>
      <c r="C23" s="1588">
        <v>391</v>
      </c>
      <c r="D23" s="1589" t="s">
        <v>1806</v>
      </c>
      <c r="E23" s="1827"/>
      <c r="F23" s="1590"/>
      <c r="G23" s="949"/>
      <c r="H23" s="1827"/>
      <c r="I23" s="1590"/>
      <c r="J23" s="949"/>
      <c r="K23" s="1827"/>
      <c r="L23" s="1590"/>
      <c r="M23" s="949"/>
      <c r="N23" s="1827"/>
      <c r="O23" s="1590"/>
      <c r="P23" s="949"/>
      <c r="Q23" s="1827"/>
      <c r="R23" s="1590"/>
      <c r="S23" s="949"/>
      <c r="T23" s="1827"/>
      <c r="U23" s="1590"/>
      <c r="V23" s="949"/>
      <c r="W23" s="1827"/>
      <c r="X23" s="1590"/>
      <c r="Y23" s="949"/>
      <c r="Z23" s="1591">
        <v>0.05</v>
      </c>
    </row>
    <row r="24" spans="2:26" ht="14.25" customHeight="1">
      <c r="B24" s="1587">
        <v>14</v>
      </c>
      <c r="C24" s="1588">
        <v>391.2</v>
      </c>
      <c r="D24" s="1589" t="s">
        <v>1069</v>
      </c>
      <c r="E24" s="1827"/>
      <c r="F24" s="1590"/>
      <c r="G24" s="949"/>
      <c r="H24" s="1827"/>
      <c r="I24" s="1590"/>
      <c r="J24" s="949"/>
      <c r="K24" s="1827"/>
      <c r="L24" s="1590"/>
      <c r="M24" s="949"/>
      <c r="N24" s="1827"/>
      <c r="O24" s="1590"/>
      <c r="P24" s="949"/>
      <c r="Q24" s="1827"/>
      <c r="R24" s="1590"/>
      <c r="S24" s="949"/>
      <c r="T24" s="1827"/>
      <c r="U24" s="1590"/>
      <c r="V24" s="949"/>
      <c r="W24" s="1827"/>
      <c r="X24" s="1590"/>
      <c r="Y24" s="949"/>
      <c r="Z24" s="1591">
        <v>0.2</v>
      </c>
    </row>
    <row r="25" spans="2:26" ht="14.25" customHeight="1">
      <c r="B25" s="1587">
        <v>15</v>
      </c>
      <c r="C25" s="1588">
        <v>391.3</v>
      </c>
      <c r="D25" s="1589" t="s">
        <v>1807</v>
      </c>
      <c r="E25" s="1828"/>
      <c r="F25" s="1590"/>
      <c r="G25" s="949"/>
      <c r="H25" s="1828"/>
      <c r="I25" s="1590"/>
      <c r="J25" s="949"/>
      <c r="K25" s="1828"/>
      <c r="L25" s="1590"/>
      <c r="M25" s="949"/>
      <c r="N25" s="1828"/>
      <c r="O25" s="1590"/>
      <c r="P25" s="949"/>
      <c r="Q25" s="1828"/>
      <c r="R25" s="1590"/>
      <c r="S25" s="949"/>
      <c r="T25" s="1828"/>
      <c r="U25" s="1590"/>
      <c r="V25" s="949"/>
      <c r="W25" s="1828"/>
      <c r="X25" s="1590"/>
      <c r="Y25" s="949"/>
      <c r="Z25" s="1591">
        <v>0.125</v>
      </c>
    </row>
    <row r="26" spans="2:26" ht="14.25" customHeight="1">
      <c r="B26" s="1587">
        <v>16</v>
      </c>
      <c r="C26" s="1588">
        <v>393</v>
      </c>
      <c r="D26" s="1589" t="s">
        <v>1070</v>
      </c>
      <c r="E26" s="1827"/>
      <c r="F26" s="1590"/>
      <c r="G26" s="949"/>
      <c r="H26" s="1827"/>
      <c r="I26" s="1590"/>
      <c r="J26" s="949"/>
      <c r="K26" s="1827"/>
      <c r="L26" s="1590"/>
      <c r="M26" s="949"/>
      <c r="N26" s="1827"/>
      <c r="O26" s="1590"/>
      <c r="P26" s="949"/>
      <c r="Q26" s="1827"/>
      <c r="R26" s="1590"/>
      <c r="S26" s="949"/>
      <c r="T26" s="1827"/>
      <c r="U26" s="1590"/>
      <c r="V26" s="949"/>
      <c r="W26" s="1827"/>
      <c r="X26" s="1590"/>
      <c r="Y26" s="949"/>
      <c r="Z26" s="1591">
        <v>0.04</v>
      </c>
    </row>
    <row r="27" spans="2:26" ht="14.25" customHeight="1">
      <c r="B27" s="1587">
        <v>17</v>
      </c>
      <c r="C27" s="1588">
        <v>394</v>
      </c>
      <c r="D27" s="1589" t="s">
        <v>1071</v>
      </c>
      <c r="E27" s="1827"/>
      <c r="F27" s="1590"/>
      <c r="G27" s="949"/>
      <c r="H27" s="1827"/>
      <c r="I27" s="1590"/>
      <c r="J27" s="949"/>
      <c r="K27" s="1827"/>
      <c r="L27" s="1590"/>
      <c r="M27" s="949"/>
      <c r="N27" s="1827"/>
      <c r="O27" s="1590"/>
      <c r="P27" s="949"/>
      <c r="Q27" s="1827"/>
      <c r="R27" s="1590"/>
      <c r="S27" s="949"/>
      <c r="T27" s="1827"/>
      <c r="U27" s="1590"/>
      <c r="V27" s="949"/>
      <c r="W27" s="1827"/>
      <c r="X27" s="1590"/>
      <c r="Y27" s="949"/>
      <c r="Z27" s="1591">
        <v>4.1700000000000001E-2</v>
      </c>
    </row>
    <row r="28" spans="2:26" ht="14.25" customHeight="1">
      <c r="B28" s="1587">
        <v>18</v>
      </c>
      <c r="C28" s="1588">
        <v>395</v>
      </c>
      <c r="D28" s="1589" t="s">
        <v>1072</v>
      </c>
      <c r="E28" s="1827"/>
      <c r="F28" s="1590"/>
      <c r="G28" s="949"/>
      <c r="H28" s="1827"/>
      <c r="I28" s="1590"/>
      <c r="J28" s="949"/>
      <c r="K28" s="1827"/>
      <c r="L28" s="1590"/>
      <c r="M28" s="949"/>
      <c r="N28" s="1827"/>
      <c r="O28" s="1590"/>
      <c r="P28" s="949"/>
      <c r="Q28" s="1827"/>
      <c r="R28" s="1590"/>
      <c r="S28" s="949"/>
      <c r="T28" s="1827"/>
      <c r="U28" s="1590"/>
      <c r="V28" s="949"/>
      <c r="W28" s="1827"/>
      <c r="X28" s="1590"/>
      <c r="Y28" s="949"/>
      <c r="Z28" s="1591">
        <v>0.05</v>
      </c>
    </row>
    <row r="29" spans="2:26" ht="14.25" customHeight="1">
      <c r="B29" s="1587">
        <v>19</v>
      </c>
      <c r="C29" s="1588">
        <v>397</v>
      </c>
      <c r="D29" s="1589" t="s">
        <v>1808</v>
      </c>
      <c r="E29" s="1827"/>
      <c r="F29" s="950"/>
      <c r="G29" s="949"/>
      <c r="H29" s="1827"/>
      <c r="I29" s="950"/>
      <c r="J29" s="949"/>
      <c r="K29" s="1827"/>
      <c r="L29" s="950"/>
      <c r="M29" s="949"/>
      <c r="N29" s="1827"/>
      <c r="O29" s="950"/>
      <c r="P29" s="949"/>
      <c r="Q29" s="1827"/>
      <c r="R29" s="950"/>
      <c r="S29" s="949"/>
      <c r="T29" s="1827"/>
      <c r="U29" s="950"/>
      <c r="V29" s="949"/>
      <c r="W29" s="1827"/>
      <c r="X29" s="950"/>
      <c r="Y29" s="949"/>
      <c r="Z29" s="1591">
        <v>4.2999999999999997E-2</v>
      </c>
    </row>
    <row r="30" spans="2:26" ht="14.25" customHeight="1">
      <c r="B30" s="1587">
        <v>20</v>
      </c>
      <c r="C30" s="1588">
        <v>397.2</v>
      </c>
      <c r="D30" s="1589" t="s">
        <v>1073</v>
      </c>
      <c r="E30" s="1829"/>
      <c r="F30" s="1590"/>
      <c r="G30" s="949"/>
      <c r="H30" s="1829"/>
      <c r="I30" s="1590"/>
      <c r="J30" s="949"/>
      <c r="K30" s="1829"/>
      <c r="L30" s="1590"/>
      <c r="M30" s="949"/>
      <c r="N30" s="1829"/>
      <c r="O30" s="1590"/>
      <c r="P30" s="949"/>
      <c r="Q30" s="1829"/>
      <c r="R30" s="1590"/>
      <c r="S30" s="949"/>
      <c r="T30" s="1827"/>
      <c r="U30" s="1590"/>
      <c r="V30" s="949"/>
      <c r="W30" s="1827"/>
      <c r="X30" s="1590"/>
      <c r="Y30" s="949"/>
      <c r="Z30" s="1591">
        <v>9.0899999999999995E-2</v>
      </c>
    </row>
    <row r="31" spans="2:26" ht="14.25" customHeight="1">
      <c r="B31" s="1587">
        <v>21</v>
      </c>
      <c r="C31" s="1588">
        <v>398</v>
      </c>
      <c r="D31" s="1589" t="s">
        <v>1074</v>
      </c>
      <c r="E31" s="1829"/>
      <c r="F31" s="1590"/>
      <c r="G31" s="949"/>
      <c r="H31" s="1829"/>
      <c r="I31" s="1590"/>
      <c r="J31" s="949"/>
      <c r="K31" s="1829"/>
      <c r="L31" s="1590"/>
      <c r="M31" s="949"/>
      <c r="N31" s="1829"/>
      <c r="O31" s="1590"/>
      <c r="P31" s="949"/>
      <c r="Q31" s="1829"/>
      <c r="R31" s="1590"/>
      <c r="S31" s="949"/>
      <c r="T31" s="1827"/>
      <c r="U31" s="1590"/>
      <c r="V31" s="949"/>
      <c r="W31" s="1827"/>
      <c r="X31" s="1590"/>
      <c r="Y31" s="949"/>
      <c r="Z31" s="1591">
        <v>0.05</v>
      </c>
    </row>
    <row r="32" spans="2:26" ht="14.25" customHeight="1">
      <c r="B32" s="1587">
        <v>22</v>
      </c>
      <c r="C32" s="1588"/>
      <c r="D32" s="1589" t="s">
        <v>1075</v>
      </c>
      <c r="E32" s="1827">
        <v>43306662.219999999</v>
      </c>
      <c r="F32" s="1590">
        <v>3.6400000000000002E-2</v>
      </c>
      <c r="G32" s="949"/>
      <c r="H32" s="1827">
        <v>5787856.5700000003</v>
      </c>
      <c r="I32" s="1590">
        <v>3.3099999999999997E-2</v>
      </c>
      <c r="J32" s="949"/>
      <c r="K32" s="1827">
        <v>4434465.8899999997</v>
      </c>
      <c r="L32" s="1590">
        <v>5.4800000000000001E-2</v>
      </c>
      <c r="M32" s="949"/>
      <c r="N32" s="1827">
        <v>46387113.57</v>
      </c>
      <c r="O32" s="1590">
        <v>4.9700000000000001E-2</v>
      </c>
      <c r="P32" s="949"/>
      <c r="Q32" s="1827">
        <v>19681414.640000001</v>
      </c>
      <c r="R32" s="1590">
        <v>5.5599999999999997E-2</v>
      </c>
      <c r="S32" s="949"/>
      <c r="T32" s="1827">
        <v>528532.05000000005</v>
      </c>
      <c r="U32" s="1590">
        <v>2.7699999999999999E-2</v>
      </c>
      <c r="V32" s="949"/>
      <c r="W32" s="1827">
        <v>6959617.4699999997</v>
      </c>
      <c r="X32" s="1590">
        <v>4.6100000000000002E-2</v>
      </c>
      <c r="Y32" s="949"/>
      <c r="Z32" s="1591"/>
    </row>
    <row r="33" spans="1:27" ht="14.25" customHeight="1">
      <c r="B33" s="1587"/>
      <c r="C33" s="1588"/>
      <c r="D33" s="1589"/>
      <c r="E33" s="1830"/>
      <c r="F33" s="1590"/>
      <c r="G33" s="949"/>
      <c r="H33" s="1592"/>
      <c r="I33" s="1590"/>
      <c r="J33" s="949"/>
      <c r="K33" s="1592"/>
      <c r="L33" s="1590"/>
      <c r="M33" s="949"/>
      <c r="N33" s="1592"/>
      <c r="O33" s="1590"/>
      <c r="P33" s="949"/>
      <c r="Q33" s="1592"/>
      <c r="R33" s="1590"/>
      <c r="S33" s="949"/>
      <c r="T33" s="1592"/>
      <c r="U33" s="1590"/>
      <c r="V33" s="949"/>
      <c r="W33" s="1592"/>
      <c r="X33" s="1590"/>
      <c r="Y33" s="949"/>
      <c r="Z33" s="1591"/>
    </row>
    <row r="34" spans="1:27" ht="14.25" customHeight="1">
      <c r="B34" s="1587">
        <v>23</v>
      </c>
      <c r="C34" s="1588">
        <v>302</v>
      </c>
      <c r="D34" s="1589" t="s">
        <v>1076</v>
      </c>
      <c r="E34" s="948"/>
      <c r="F34" s="1590"/>
      <c r="G34" s="949"/>
      <c r="H34" s="948"/>
      <c r="I34" s="1590"/>
      <c r="J34" s="949"/>
      <c r="K34" s="948"/>
      <c r="L34" s="1590"/>
      <c r="M34" s="949"/>
      <c r="N34" s="948"/>
      <c r="O34" s="1590"/>
      <c r="P34" s="949"/>
      <c r="Q34" s="948"/>
      <c r="R34" s="1590"/>
      <c r="S34" s="949"/>
      <c r="T34" s="948"/>
      <c r="U34" s="1590"/>
      <c r="V34" s="949"/>
      <c r="W34" s="948"/>
      <c r="X34" s="1590"/>
      <c r="Y34" s="949"/>
      <c r="Z34" s="1591">
        <v>2.9399999999999999E-2</v>
      </c>
    </row>
    <row r="35" spans="1:27" ht="14.25" customHeight="1">
      <c r="B35" s="1587">
        <v>24</v>
      </c>
      <c r="C35" s="1588">
        <v>303</v>
      </c>
      <c r="D35" s="1589" t="s">
        <v>1077</v>
      </c>
      <c r="E35" s="948"/>
      <c r="F35" s="1590"/>
      <c r="G35" s="949"/>
      <c r="H35" s="948"/>
      <c r="I35" s="1590"/>
      <c r="J35" s="949"/>
      <c r="K35" s="948"/>
      <c r="L35" s="1590"/>
      <c r="M35" s="949"/>
      <c r="N35" s="948"/>
      <c r="O35" s="1590"/>
      <c r="P35" s="949"/>
      <c r="Q35" s="948"/>
      <c r="R35" s="1590"/>
      <c r="S35" s="949"/>
      <c r="T35" s="948"/>
      <c r="U35" s="1590"/>
      <c r="V35" s="949"/>
      <c r="W35" s="948"/>
      <c r="X35" s="1590"/>
      <c r="Y35" s="949"/>
      <c r="Z35" s="1591">
        <v>6.6900000000000001E-2</v>
      </c>
    </row>
    <row r="36" spans="1:27" ht="14.25" customHeight="1" thickBot="1">
      <c r="B36" s="1594">
        <v>25</v>
      </c>
      <c r="C36" s="1595">
        <v>390.1</v>
      </c>
      <c r="D36" s="1596" t="s">
        <v>1078</v>
      </c>
      <c r="E36" s="951"/>
      <c r="F36" s="1597"/>
      <c r="G36" s="952"/>
      <c r="H36" s="951"/>
      <c r="I36" s="1597"/>
      <c r="J36" s="952"/>
      <c r="K36" s="951"/>
      <c r="L36" s="1597"/>
      <c r="M36" s="952"/>
      <c r="N36" s="951"/>
      <c r="O36" s="1597"/>
      <c r="P36" s="952"/>
      <c r="Q36" s="951"/>
      <c r="R36" s="1597"/>
      <c r="S36" s="952"/>
      <c r="T36" s="951"/>
      <c r="U36" s="1597"/>
      <c r="V36" s="952"/>
      <c r="W36" s="951"/>
      <c r="X36" s="1597"/>
      <c r="Y36" s="952"/>
      <c r="Z36" s="1831">
        <v>2.5000000000000001E-2</v>
      </c>
    </row>
    <row r="37" spans="1:27">
      <c r="B37" s="949"/>
      <c r="C37" s="949"/>
      <c r="D37" s="943"/>
      <c r="E37" s="949"/>
      <c r="F37" s="943"/>
      <c r="G37" s="943"/>
      <c r="H37" s="949"/>
      <c r="I37" s="943"/>
      <c r="J37" s="943"/>
      <c r="K37" s="949"/>
      <c r="L37" s="943"/>
      <c r="M37" s="943"/>
      <c r="N37" s="949"/>
      <c r="O37" s="943"/>
      <c r="P37" s="943"/>
      <c r="Q37" s="949"/>
      <c r="R37" s="943"/>
      <c r="S37" s="943"/>
      <c r="T37" s="949"/>
      <c r="U37" s="943"/>
      <c r="V37" s="943"/>
      <c r="W37" s="949"/>
      <c r="X37" s="943"/>
      <c r="Y37" s="943"/>
    </row>
    <row r="38" spans="1:27">
      <c r="B38" s="949"/>
      <c r="C38" s="949"/>
      <c r="D38" s="943"/>
      <c r="E38" s="953"/>
      <c r="F38" s="943"/>
      <c r="G38" s="943"/>
      <c r="H38" s="953"/>
      <c r="I38" s="943"/>
      <c r="J38" s="953"/>
      <c r="K38" s="953"/>
      <c r="L38" s="943"/>
      <c r="M38" s="943"/>
      <c r="N38" s="953"/>
      <c r="O38" s="943"/>
      <c r="P38" s="943"/>
      <c r="Q38" s="953"/>
      <c r="R38" s="943"/>
      <c r="S38" s="943"/>
      <c r="T38" s="953"/>
      <c r="U38" s="943"/>
      <c r="V38" s="943"/>
      <c r="W38" s="953"/>
      <c r="X38" s="943"/>
      <c r="Y38" s="943"/>
      <c r="Z38" s="1598"/>
    </row>
    <row r="39" spans="1:27">
      <c r="C39" s="1567"/>
      <c r="D39" s="943"/>
      <c r="E39" s="943"/>
      <c r="F39" s="943"/>
      <c r="G39" s="943"/>
      <c r="H39" s="943"/>
      <c r="I39" s="943"/>
      <c r="J39" s="943"/>
      <c r="K39" s="943"/>
      <c r="L39" s="943"/>
      <c r="M39" s="943"/>
      <c r="N39" s="943"/>
      <c r="O39" s="943"/>
      <c r="P39" s="943"/>
      <c r="Q39" s="943"/>
      <c r="R39" s="943"/>
      <c r="S39" s="943"/>
      <c r="T39" s="943"/>
      <c r="U39" s="943"/>
      <c r="V39" s="943"/>
      <c r="W39" s="943"/>
      <c r="X39" s="943"/>
      <c r="Y39" s="943"/>
      <c r="Z39" s="1598"/>
    </row>
    <row r="40" spans="1:27" s="955" customFormat="1" ht="29.25" customHeight="1">
      <c r="A40" s="1825"/>
      <c r="B40" s="954">
        <v>1</v>
      </c>
      <c r="C40" s="1962" t="s">
        <v>1882</v>
      </c>
      <c r="D40" s="1962"/>
      <c r="E40" s="1962"/>
      <c r="F40" s="1962"/>
      <c r="G40" s="1962"/>
      <c r="H40" s="1962"/>
      <c r="I40" s="1962"/>
      <c r="J40" s="1962"/>
      <c r="K40" s="1962"/>
      <c r="L40" s="1962"/>
      <c r="M40" s="1962"/>
      <c r="N40" s="1962"/>
      <c r="O40" s="1962"/>
      <c r="P40" s="1962"/>
      <c r="Q40" s="1962"/>
      <c r="R40" s="1962"/>
      <c r="S40" s="1962"/>
      <c r="T40" s="1825"/>
    </row>
    <row r="41" spans="1:27" s="955" customFormat="1">
      <c r="A41" s="1825"/>
      <c r="B41" s="954">
        <v>2</v>
      </c>
      <c r="C41" s="1966" t="s">
        <v>1079</v>
      </c>
      <c r="D41" s="1966"/>
      <c r="E41" s="1966"/>
      <c r="F41" s="1966"/>
      <c r="G41" s="1966"/>
      <c r="H41" s="1966"/>
      <c r="I41" s="1966"/>
      <c r="J41" s="1966"/>
      <c r="K41" s="1966"/>
      <c r="L41" s="1966"/>
      <c r="M41" s="1966"/>
      <c r="N41" s="1966"/>
      <c r="O41" s="1966"/>
      <c r="P41" s="1966"/>
      <c r="Q41" s="1966"/>
      <c r="R41" s="1966"/>
      <c r="S41" s="1966"/>
      <c r="T41" s="1826"/>
      <c r="U41" s="1826"/>
      <c r="V41" s="1826"/>
      <c r="W41" s="1826"/>
      <c r="X41" s="1826"/>
      <c r="Y41" s="1826"/>
      <c r="Z41" s="1825"/>
      <c r="AA41" s="1825"/>
    </row>
    <row r="42" spans="1:27" s="955" customFormat="1" ht="15" customHeight="1">
      <c r="A42" s="1825"/>
      <c r="B42" s="954">
        <v>3</v>
      </c>
      <c r="C42" s="1966" t="s">
        <v>1080</v>
      </c>
      <c r="D42" s="1966"/>
      <c r="E42" s="1966"/>
      <c r="F42" s="1966"/>
      <c r="G42" s="1966"/>
      <c r="H42" s="1966"/>
      <c r="I42" s="1966"/>
      <c r="J42" s="1966"/>
      <c r="K42" s="1966"/>
      <c r="L42" s="1966"/>
      <c r="M42" s="1966"/>
      <c r="N42" s="1966"/>
      <c r="O42" s="1966"/>
      <c r="P42" s="1966"/>
      <c r="Q42" s="1966"/>
      <c r="R42" s="1966"/>
      <c r="S42" s="1966"/>
      <c r="T42" s="1825"/>
      <c r="U42" s="1825"/>
      <c r="V42" s="1825"/>
      <c r="W42" s="1825"/>
      <c r="X42" s="1825"/>
      <c r="Y42" s="1825"/>
      <c r="Z42" s="1825"/>
      <c r="AA42" s="1825"/>
    </row>
    <row r="43" spans="1:27" s="955" customFormat="1">
      <c r="A43" s="1825"/>
      <c r="B43" s="954">
        <v>4</v>
      </c>
      <c r="C43" s="1966" t="s">
        <v>1081</v>
      </c>
      <c r="D43" s="1966"/>
      <c r="E43" s="1966"/>
      <c r="F43" s="1966"/>
      <c r="G43" s="1966"/>
      <c r="H43" s="1966"/>
      <c r="I43" s="1966"/>
      <c r="J43" s="1966"/>
      <c r="K43" s="1966"/>
      <c r="L43" s="1966"/>
      <c r="M43" s="1966"/>
      <c r="N43" s="1966"/>
      <c r="O43" s="1966"/>
      <c r="P43" s="1966"/>
      <c r="Q43" s="1966"/>
      <c r="R43" s="1966"/>
      <c r="S43" s="1966"/>
      <c r="T43" s="1825"/>
      <c r="U43" s="1825"/>
      <c r="V43" s="1825"/>
      <c r="W43" s="1825"/>
      <c r="X43" s="1825"/>
      <c r="Y43" s="1825"/>
      <c r="Z43" s="1825"/>
      <c r="AA43" s="1825"/>
    </row>
    <row r="44" spans="1:27" s="955" customFormat="1" ht="15" customHeight="1">
      <c r="A44" s="1825"/>
      <c r="B44" s="954">
        <v>5</v>
      </c>
      <c r="C44" s="1962" t="s">
        <v>1082</v>
      </c>
      <c r="D44" s="1962"/>
      <c r="E44" s="1962"/>
      <c r="F44" s="1962"/>
      <c r="G44" s="1962"/>
      <c r="H44" s="1962"/>
      <c r="I44" s="1962"/>
      <c r="J44" s="1962"/>
      <c r="K44" s="1962"/>
      <c r="L44" s="1962"/>
      <c r="M44" s="1962"/>
      <c r="N44" s="1962"/>
      <c r="O44" s="1962"/>
      <c r="P44" s="1962"/>
      <c r="Q44" s="1962"/>
      <c r="R44" s="1962"/>
      <c r="S44" s="1962"/>
      <c r="T44" s="1826"/>
    </row>
    <row r="45" spans="1:27" s="955" customFormat="1" ht="28.5" customHeight="1">
      <c r="A45" s="1825"/>
      <c r="B45" s="954">
        <v>6</v>
      </c>
      <c r="C45" s="1962" t="s">
        <v>1083</v>
      </c>
      <c r="D45" s="1962"/>
      <c r="E45" s="1962"/>
      <c r="F45" s="1962"/>
      <c r="G45" s="1962"/>
      <c r="H45" s="1962"/>
      <c r="I45" s="1962"/>
      <c r="J45" s="1962"/>
      <c r="K45" s="1962"/>
      <c r="L45" s="1962"/>
      <c r="M45" s="1962"/>
      <c r="N45" s="1962"/>
      <c r="O45" s="1962"/>
      <c r="P45" s="1962"/>
      <c r="Q45" s="1962"/>
      <c r="R45" s="1962"/>
      <c r="S45" s="1962"/>
      <c r="T45" s="1826"/>
    </row>
    <row r="46" spans="1:27" s="955" customFormat="1" ht="27.75" customHeight="1">
      <c r="A46" s="1825"/>
      <c r="B46" s="954">
        <v>7</v>
      </c>
      <c r="C46" s="1962" t="s">
        <v>1084</v>
      </c>
      <c r="D46" s="1962"/>
      <c r="E46" s="1962"/>
      <c r="F46" s="1962"/>
      <c r="G46" s="1962"/>
      <c r="H46" s="1962"/>
      <c r="I46" s="1962"/>
      <c r="J46" s="1962"/>
      <c r="K46" s="1962"/>
      <c r="L46" s="1962"/>
      <c r="M46" s="1962"/>
      <c r="N46" s="1962"/>
      <c r="O46" s="1962"/>
      <c r="P46" s="1962"/>
      <c r="Q46" s="1962"/>
      <c r="R46" s="1962"/>
      <c r="S46" s="1962"/>
      <c r="T46" s="1826"/>
    </row>
    <row r="47" spans="1:27" s="955" customFormat="1" ht="15" customHeight="1">
      <c r="A47" s="1825"/>
      <c r="B47" s="954">
        <v>8</v>
      </c>
      <c r="C47" s="1962" t="s">
        <v>1809</v>
      </c>
      <c r="D47" s="1962"/>
      <c r="E47" s="1962"/>
      <c r="F47" s="1962"/>
      <c r="G47" s="1962"/>
      <c r="H47" s="1962"/>
      <c r="I47" s="1962"/>
      <c r="J47" s="1962"/>
      <c r="K47" s="1962"/>
      <c r="L47" s="1962"/>
      <c r="M47" s="1962"/>
      <c r="N47" s="1962"/>
      <c r="O47" s="1962"/>
      <c r="P47" s="1962"/>
      <c r="Q47" s="1962"/>
      <c r="R47" s="1962"/>
      <c r="S47" s="1962"/>
      <c r="T47" s="1826"/>
    </row>
    <row r="48" spans="1:27" s="955" customFormat="1" ht="15" customHeight="1">
      <c r="A48" s="1825"/>
      <c r="B48" s="954">
        <v>9</v>
      </c>
      <c r="C48" s="1962" t="s">
        <v>1085</v>
      </c>
      <c r="D48" s="1962"/>
      <c r="E48" s="1962"/>
      <c r="F48" s="1962"/>
      <c r="G48" s="1962"/>
      <c r="H48" s="1962"/>
      <c r="I48" s="1962"/>
      <c r="J48" s="1962"/>
      <c r="K48" s="1962"/>
      <c r="L48" s="1962"/>
      <c r="M48" s="1962"/>
      <c r="N48" s="1962"/>
      <c r="O48" s="1962"/>
      <c r="P48" s="1962"/>
      <c r="Q48" s="1962"/>
      <c r="R48" s="1962"/>
      <c r="S48" s="1962"/>
      <c r="T48" s="1826"/>
    </row>
    <row r="49" spans="1:25" s="955" customFormat="1" ht="15" customHeight="1">
      <c r="A49" s="1825"/>
      <c r="B49" s="954">
        <v>10</v>
      </c>
      <c r="C49" s="1962" t="s">
        <v>2223</v>
      </c>
      <c r="D49" s="1962"/>
      <c r="E49" s="1962"/>
      <c r="F49" s="1962"/>
      <c r="G49" s="1962"/>
      <c r="H49" s="1962"/>
      <c r="I49" s="1962"/>
      <c r="J49" s="1962"/>
      <c r="K49" s="1962"/>
      <c r="L49" s="1962"/>
      <c r="M49" s="1962"/>
      <c r="N49" s="1962"/>
      <c r="O49" s="1962"/>
      <c r="P49" s="1962"/>
      <c r="Q49" s="1962"/>
      <c r="R49" s="1962"/>
      <c r="S49" s="1962"/>
      <c r="T49" s="1826"/>
    </row>
    <row r="50" spans="1:25" s="955" customFormat="1" ht="15" customHeight="1">
      <c r="A50" s="1825"/>
      <c r="B50" s="954">
        <v>11</v>
      </c>
      <c r="C50" s="1962" t="s">
        <v>1086</v>
      </c>
      <c r="D50" s="1962"/>
      <c r="E50" s="1962"/>
      <c r="F50" s="1962"/>
      <c r="G50" s="1962"/>
      <c r="H50" s="1962"/>
      <c r="I50" s="1962"/>
      <c r="J50" s="1962"/>
      <c r="K50" s="1962"/>
      <c r="L50" s="1962"/>
      <c r="M50" s="1962"/>
      <c r="N50" s="1962"/>
      <c r="O50" s="1962"/>
      <c r="P50" s="1962"/>
      <c r="Q50" s="1962"/>
      <c r="R50" s="1962"/>
      <c r="S50" s="1962"/>
      <c r="T50" s="1826"/>
    </row>
    <row r="51" spans="1:25" s="955" customFormat="1" ht="27.75" customHeight="1">
      <c r="A51" s="1825"/>
      <c r="B51" s="954">
        <v>12</v>
      </c>
      <c r="C51" s="1962" t="s">
        <v>1087</v>
      </c>
      <c r="D51" s="1962"/>
      <c r="E51" s="1962"/>
      <c r="F51" s="1962"/>
      <c r="G51" s="1962"/>
      <c r="H51" s="1962"/>
      <c r="I51" s="1962"/>
      <c r="J51" s="1962"/>
      <c r="K51" s="1962"/>
      <c r="L51" s="1962"/>
      <c r="M51" s="1962"/>
      <c r="N51" s="1962"/>
      <c r="O51" s="1962"/>
      <c r="P51" s="1962"/>
      <c r="Q51" s="1962"/>
      <c r="R51" s="1962"/>
      <c r="S51" s="1962"/>
      <c r="T51" s="1826"/>
    </row>
    <row r="52" spans="1:25" ht="15" customHeight="1">
      <c r="B52" s="954">
        <v>13</v>
      </c>
      <c r="C52" s="1825" t="s">
        <v>1810</v>
      </c>
      <c r="T52" s="943"/>
      <c r="U52" s="943"/>
      <c r="V52" s="943"/>
      <c r="W52" s="943"/>
      <c r="X52" s="943"/>
      <c r="Y52" s="943"/>
    </row>
    <row r="53" spans="1:25">
      <c r="B53" s="954">
        <v>14</v>
      </c>
      <c r="C53" s="1962" t="s">
        <v>1811</v>
      </c>
      <c r="D53" s="1962"/>
      <c r="E53" s="1962"/>
      <c r="F53" s="1962"/>
      <c r="G53" s="1962"/>
      <c r="H53" s="1962"/>
      <c r="I53" s="1962"/>
      <c r="J53" s="1962"/>
      <c r="K53" s="1962"/>
      <c r="L53" s="1962"/>
      <c r="M53" s="1962"/>
      <c r="N53" s="1962"/>
      <c r="O53" s="1962"/>
      <c r="P53" s="1962"/>
      <c r="Q53" s="1962"/>
      <c r="R53" s="1962"/>
      <c r="S53" s="1962"/>
    </row>
    <row r="54" spans="1:25">
      <c r="B54" s="954">
        <v>15</v>
      </c>
      <c r="C54" s="1962" t="s">
        <v>1812</v>
      </c>
      <c r="D54" s="1962"/>
      <c r="E54" s="1962"/>
      <c r="F54" s="1962"/>
      <c r="G54" s="1962"/>
      <c r="H54" s="1962"/>
      <c r="I54" s="1962"/>
      <c r="J54" s="1962"/>
      <c r="K54" s="1962"/>
      <c r="L54" s="1962"/>
      <c r="M54" s="1962"/>
      <c r="N54" s="1962"/>
      <c r="O54" s="1962"/>
      <c r="P54" s="1962"/>
      <c r="Q54" s="1962"/>
      <c r="R54" s="1962"/>
      <c r="S54" s="1962"/>
    </row>
  </sheetData>
  <mergeCells count="21">
    <mergeCell ref="W7:X7"/>
    <mergeCell ref="C42:S42"/>
    <mergeCell ref="C43:S43"/>
    <mergeCell ref="C44:S44"/>
    <mergeCell ref="T7:U7"/>
    <mergeCell ref="C54:S54"/>
    <mergeCell ref="C45:S45"/>
    <mergeCell ref="E7:F7"/>
    <mergeCell ref="H7:I7"/>
    <mergeCell ref="K7:L7"/>
    <mergeCell ref="N7:O7"/>
    <mergeCell ref="Q7:R7"/>
    <mergeCell ref="C40:S40"/>
    <mergeCell ref="C41:S41"/>
    <mergeCell ref="C53:S53"/>
    <mergeCell ref="C46:S46"/>
    <mergeCell ref="C47:S47"/>
    <mergeCell ref="C48:S48"/>
    <mergeCell ref="C49:S49"/>
    <mergeCell ref="C50:S50"/>
    <mergeCell ref="C51:S51"/>
  </mergeCells>
  <pageMargins left="0.7" right="0.7" top="0.75" bottom="0.75" header="0.3" footer="0.3"/>
  <pageSetup scale="46"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Q76"/>
  <sheetViews>
    <sheetView zoomScaleNormal="100" workbookViewId="0">
      <selection activeCell="B2" sqref="B2:AD2"/>
    </sheetView>
  </sheetViews>
  <sheetFormatPr defaultRowHeight="15"/>
  <cols>
    <col min="1" max="1" width="4.7109375" customWidth="1"/>
    <col min="2" max="2" width="14.28515625" customWidth="1"/>
    <col min="3" max="3" width="14.42578125" bestFit="1" customWidth="1"/>
    <col min="4" max="12" width="11.5703125" customWidth="1"/>
    <col min="13" max="13" width="14.7109375" customWidth="1"/>
    <col min="14" max="14" width="11.5703125" customWidth="1"/>
    <col min="15" max="15" width="13.28515625" customWidth="1"/>
    <col min="16" max="16" width="14.42578125" customWidth="1"/>
    <col min="17" max="17" width="11.5703125" customWidth="1"/>
    <col min="18" max="18" width="16" customWidth="1"/>
    <col min="19" max="19" width="11.5703125" customWidth="1"/>
    <col min="20" max="20" width="13" bestFit="1" customWidth="1"/>
    <col min="21" max="22" width="11.5703125" customWidth="1"/>
    <col min="23" max="23" width="14.7109375" customWidth="1"/>
    <col min="24" max="24" width="13.28515625" bestFit="1" customWidth="1"/>
    <col min="25" max="26" width="11.5703125" customWidth="1"/>
    <col min="27" max="27" width="12.85546875" customWidth="1"/>
    <col min="28" max="28" width="13.140625" customWidth="1"/>
    <col min="29" max="29" width="9.140625" bestFit="1" customWidth="1"/>
    <col min="30" max="30" width="12.5703125" bestFit="1" customWidth="1"/>
    <col min="31" max="31" width="11.42578125" customWidth="1"/>
    <col min="32" max="33" width="13.28515625" customWidth="1"/>
    <col min="34" max="34" width="12.28515625" bestFit="1" customWidth="1"/>
    <col min="35" max="35" width="3.42578125" customWidth="1"/>
    <col min="36" max="36" width="14.42578125" customWidth="1"/>
    <col min="37" max="37" width="12.85546875" customWidth="1"/>
    <col min="38" max="38" width="14.85546875" customWidth="1"/>
    <col min="39" max="39" width="13.7109375" customWidth="1"/>
    <col min="40" max="40" width="3.140625" customWidth="1"/>
    <col min="41" max="41" width="12.5703125" customWidth="1"/>
    <col min="42" max="42" width="12.85546875" customWidth="1"/>
  </cols>
  <sheetData>
    <row r="1" spans="1:37" ht="15.75">
      <c r="A1" s="956"/>
      <c r="B1" s="1967" t="s">
        <v>2</v>
      </c>
      <c r="C1" s="1968"/>
      <c r="D1" s="1968"/>
      <c r="E1" s="1968"/>
      <c r="F1" s="1968"/>
      <c r="G1" s="1968"/>
      <c r="H1" s="1968"/>
      <c r="I1" s="1968"/>
      <c r="J1" s="1968"/>
      <c r="K1" s="1968"/>
      <c r="L1" s="1968"/>
      <c r="M1" s="1968"/>
      <c r="N1" s="1968"/>
      <c r="O1" s="1968"/>
      <c r="P1" s="1968"/>
      <c r="Q1" s="1968"/>
      <c r="R1" s="1968"/>
      <c r="S1" s="1968"/>
      <c r="T1" s="1968"/>
      <c r="U1" s="1968"/>
      <c r="V1" s="1968"/>
      <c r="W1" s="1968"/>
      <c r="X1" s="1968"/>
      <c r="Y1" s="1968"/>
      <c r="Z1" s="1968"/>
      <c r="AA1" s="1968"/>
      <c r="AB1" s="1968"/>
      <c r="AC1" s="1968"/>
      <c r="AD1" s="1968"/>
      <c r="AE1" s="959"/>
      <c r="AF1" s="959"/>
      <c r="AG1" s="959"/>
      <c r="AH1" s="959"/>
      <c r="AI1" s="959"/>
    </row>
    <row r="2" spans="1:37" ht="15.75">
      <c r="A2" s="956"/>
      <c r="B2" s="1967" t="s">
        <v>1088</v>
      </c>
      <c r="C2" s="1967"/>
      <c r="D2" s="1967"/>
      <c r="E2" s="1967"/>
      <c r="F2" s="1967"/>
      <c r="G2" s="1967"/>
      <c r="H2" s="1967"/>
      <c r="I2" s="1967"/>
      <c r="J2" s="1967"/>
      <c r="K2" s="1967"/>
      <c r="L2" s="1967"/>
      <c r="M2" s="1967"/>
      <c r="N2" s="1967"/>
      <c r="O2" s="1967"/>
      <c r="P2" s="1967"/>
      <c r="Q2" s="1967"/>
      <c r="R2" s="1967"/>
      <c r="S2" s="1967"/>
      <c r="T2" s="1967"/>
      <c r="U2" s="1967"/>
      <c r="V2" s="1967"/>
      <c r="W2" s="1967"/>
      <c r="X2" s="1967"/>
      <c r="Y2" s="1967"/>
      <c r="Z2" s="1967"/>
      <c r="AA2" s="1967"/>
      <c r="AB2" s="1967"/>
      <c r="AC2" s="1968"/>
      <c r="AD2" s="1968"/>
      <c r="AE2" s="959"/>
      <c r="AF2" s="959"/>
      <c r="AG2" s="959"/>
      <c r="AH2" s="959"/>
      <c r="AI2" s="959"/>
    </row>
    <row r="3" spans="1:37" ht="15.75">
      <c r="A3" s="956"/>
      <c r="B3" s="960"/>
      <c r="C3" s="309"/>
      <c r="D3" s="309"/>
      <c r="E3" s="309"/>
      <c r="F3" s="309"/>
      <c r="G3" s="309"/>
      <c r="H3" s="957"/>
      <c r="I3" s="958"/>
      <c r="J3" s="958"/>
      <c r="K3" s="958"/>
      <c r="L3" s="958"/>
      <c r="M3" s="958"/>
      <c r="N3" s="958"/>
      <c r="O3" s="958"/>
      <c r="P3" s="958"/>
      <c r="Q3" s="958"/>
      <c r="R3" s="959"/>
      <c r="S3" s="958"/>
      <c r="T3" s="958"/>
      <c r="U3" s="958"/>
      <c r="V3" s="958"/>
      <c r="W3" s="958"/>
      <c r="X3" s="958"/>
      <c r="Y3" s="958"/>
      <c r="Z3" s="958"/>
      <c r="AA3" s="959"/>
      <c r="AB3" s="959"/>
      <c r="AC3" s="959"/>
      <c r="AD3" s="959"/>
      <c r="AE3" s="959"/>
      <c r="AF3" s="959"/>
      <c r="AG3" s="959"/>
      <c r="AH3" s="959"/>
      <c r="AI3" s="959"/>
    </row>
    <row r="4" spans="1:37" ht="16.5" thickBot="1">
      <c r="A4" s="959"/>
      <c r="B4" s="959"/>
      <c r="C4" s="959"/>
      <c r="D4" s="959"/>
      <c r="E4" s="959"/>
      <c r="F4" s="959"/>
      <c r="G4" s="959"/>
      <c r="H4" s="959"/>
      <c r="I4" s="959"/>
      <c r="J4" s="959"/>
      <c r="K4" s="959"/>
      <c r="L4" s="959"/>
      <c r="M4" s="959"/>
      <c r="N4" s="959"/>
      <c r="O4" s="959"/>
      <c r="P4" s="959"/>
      <c r="Q4" s="959"/>
      <c r="R4" s="959"/>
      <c r="S4" s="961"/>
      <c r="T4" s="958"/>
      <c r="U4" s="958"/>
      <c r="V4" s="962"/>
      <c r="W4" s="962"/>
      <c r="X4" s="963"/>
      <c r="Y4" s="959"/>
      <c r="Z4" s="959"/>
      <c r="AA4" s="959"/>
      <c r="AB4" s="959"/>
      <c r="AC4" s="959"/>
      <c r="AD4" s="959"/>
      <c r="AE4" s="959"/>
      <c r="AF4" s="959"/>
      <c r="AG4" s="959"/>
      <c r="AH4" s="959"/>
      <c r="AI4" s="959"/>
    </row>
    <row r="5" spans="1:37" ht="16.5" thickBot="1">
      <c r="A5" s="959"/>
      <c r="B5" s="964"/>
      <c r="C5" s="1969" t="s">
        <v>1089</v>
      </c>
      <c r="D5" s="1970"/>
      <c r="E5" s="1970"/>
      <c r="F5" s="1970"/>
      <c r="G5" s="1970"/>
      <c r="H5" s="1970"/>
      <c r="I5" s="1970"/>
      <c r="J5" s="1970"/>
      <c r="K5" s="1970"/>
      <c r="L5" s="1970"/>
      <c r="M5" s="1970"/>
      <c r="N5" s="1970"/>
      <c r="O5" s="1970"/>
      <c r="P5" s="1970"/>
      <c r="Q5" s="1970"/>
      <c r="R5" s="1970"/>
      <c r="S5" s="1970"/>
      <c r="T5" s="1971"/>
      <c r="U5" s="1489"/>
      <c r="V5" s="1531"/>
      <c r="W5" s="958"/>
      <c r="X5" s="965"/>
      <c r="Y5" s="1974" t="s">
        <v>1090</v>
      </c>
      <c r="Z5" s="1971"/>
      <c r="AA5" s="1971"/>
      <c r="AB5" s="1971"/>
      <c r="AC5" s="1975"/>
      <c r="AD5" s="1806"/>
      <c r="AE5" s="959"/>
      <c r="AF5" s="959"/>
      <c r="AG5" s="959"/>
      <c r="AH5" s="959"/>
      <c r="AI5" s="959"/>
      <c r="AJ5" s="959"/>
      <c r="AK5" s="959"/>
    </row>
    <row r="6" spans="1:37" ht="16.5" thickBot="1">
      <c r="A6" s="959"/>
      <c r="B6" s="967" t="s">
        <v>702</v>
      </c>
      <c r="C6" s="968" t="s">
        <v>1091</v>
      </c>
      <c r="D6" s="969" t="s">
        <v>1092</v>
      </c>
      <c r="E6" s="970" t="s">
        <v>1093</v>
      </c>
      <c r="F6" s="970" t="s">
        <v>1094</v>
      </c>
      <c r="G6" s="970" t="s">
        <v>1095</v>
      </c>
      <c r="H6" s="970" t="s">
        <v>1096</v>
      </c>
      <c r="I6" s="970" t="s">
        <v>1097</v>
      </c>
      <c r="J6" s="970" t="s">
        <v>1098</v>
      </c>
      <c r="K6" s="970" t="s">
        <v>1099</v>
      </c>
      <c r="L6" s="970" t="s">
        <v>1100</v>
      </c>
      <c r="M6" s="970" t="s">
        <v>1101</v>
      </c>
      <c r="N6" s="970" t="s">
        <v>1102</v>
      </c>
      <c r="O6" s="970" t="s">
        <v>1103</v>
      </c>
      <c r="P6" s="970" t="s">
        <v>1104</v>
      </c>
      <c r="Q6" s="970" t="s">
        <v>1105</v>
      </c>
      <c r="R6" s="970" t="s">
        <v>1106</v>
      </c>
      <c r="S6" s="970" t="s">
        <v>1107</v>
      </c>
      <c r="T6" s="970" t="s">
        <v>1108</v>
      </c>
      <c r="U6" s="970" t="s">
        <v>1572</v>
      </c>
      <c r="V6" s="970" t="s">
        <v>1796</v>
      </c>
      <c r="W6" s="971" t="s">
        <v>1109</v>
      </c>
      <c r="X6" s="958"/>
      <c r="Y6" s="969" t="s">
        <v>1110</v>
      </c>
      <c r="Z6" s="970" t="s">
        <v>1111</v>
      </c>
      <c r="AA6" s="970" t="s">
        <v>1112</v>
      </c>
      <c r="AB6" s="970" t="s">
        <v>1113</v>
      </c>
      <c r="AC6" s="972" t="s">
        <v>1174</v>
      </c>
      <c r="AD6" s="971" t="s">
        <v>1114</v>
      </c>
      <c r="AE6" s="966"/>
      <c r="AF6" s="959"/>
      <c r="AG6" s="959"/>
      <c r="AH6" s="959"/>
      <c r="AI6" s="959"/>
      <c r="AJ6" s="959"/>
      <c r="AK6" s="959"/>
    </row>
    <row r="7" spans="1:37" ht="47.25">
      <c r="A7" s="959"/>
      <c r="B7" s="973" t="s">
        <v>1115</v>
      </c>
      <c r="C7" s="974" t="s">
        <v>2</v>
      </c>
      <c r="D7" s="975" t="s">
        <v>2336</v>
      </c>
      <c r="E7" s="976" t="s">
        <v>2337</v>
      </c>
      <c r="F7" s="976" t="s">
        <v>2338</v>
      </c>
      <c r="G7" s="976" t="s">
        <v>2339</v>
      </c>
      <c r="H7" s="976" t="s">
        <v>2340</v>
      </c>
      <c r="I7" s="976" t="s">
        <v>2341</v>
      </c>
      <c r="J7" s="976" t="s">
        <v>2342</v>
      </c>
      <c r="K7" s="976" t="s">
        <v>2343</v>
      </c>
      <c r="L7" s="976" t="s">
        <v>2344</v>
      </c>
      <c r="M7" s="976" t="s">
        <v>2345</v>
      </c>
      <c r="N7" s="976" t="s">
        <v>2346</v>
      </c>
      <c r="O7" s="976" t="s">
        <v>2347</v>
      </c>
      <c r="P7" s="976" t="s">
        <v>2348</v>
      </c>
      <c r="Q7" s="976" t="s">
        <v>2349</v>
      </c>
      <c r="R7" s="976" t="s">
        <v>2350</v>
      </c>
      <c r="S7" s="976" t="s">
        <v>2351</v>
      </c>
      <c r="T7" s="976" t="s">
        <v>2352</v>
      </c>
      <c r="U7" s="976" t="s">
        <v>2353</v>
      </c>
      <c r="V7" s="1903" t="s">
        <v>2354</v>
      </c>
      <c r="W7" s="1053"/>
      <c r="X7" s="958"/>
      <c r="Y7" s="975" t="s">
        <v>1116</v>
      </c>
      <c r="Z7" s="976" t="s">
        <v>1117</v>
      </c>
      <c r="AA7" s="976" t="s">
        <v>1118</v>
      </c>
      <c r="AB7" s="976" t="s">
        <v>1119</v>
      </c>
      <c r="AC7" s="977"/>
      <c r="AD7" s="978"/>
      <c r="AE7" s="966"/>
      <c r="AF7" s="959"/>
      <c r="AG7" s="959"/>
      <c r="AH7" s="959"/>
      <c r="AI7" s="959"/>
      <c r="AJ7" s="959"/>
      <c r="AK7" s="959"/>
    </row>
    <row r="8" spans="1:37" ht="15.75">
      <c r="A8" s="959"/>
      <c r="B8" s="979" t="s">
        <v>1120</v>
      </c>
      <c r="C8" s="980" t="s">
        <v>1121</v>
      </c>
      <c r="D8" s="981" t="s">
        <v>1122</v>
      </c>
      <c r="E8" s="977" t="s">
        <v>1122</v>
      </c>
      <c r="F8" s="977" t="s">
        <v>1122</v>
      </c>
      <c r="G8" s="977" t="s">
        <v>1122</v>
      </c>
      <c r="H8" s="977" t="s">
        <v>1122</v>
      </c>
      <c r="I8" s="977" t="s">
        <v>1122</v>
      </c>
      <c r="J8" s="977" t="s">
        <v>1122</v>
      </c>
      <c r="K8" s="977" t="s">
        <v>1122</v>
      </c>
      <c r="L8" s="977" t="s">
        <v>1122</v>
      </c>
      <c r="M8" s="977" t="s">
        <v>1122</v>
      </c>
      <c r="N8" s="977" t="s">
        <v>1122</v>
      </c>
      <c r="O8" s="977" t="s">
        <v>1122</v>
      </c>
      <c r="P8" s="977" t="s">
        <v>1122</v>
      </c>
      <c r="Q8" s="977" t="s">
        <v>1122</v>
      </c>
      <c r="R8" s="977" t="s">
        <v>1122</v>
      </c>
      <c r="S8" s="977" t="s">
        <v>1122</v>
      </c>
      <c r="T8" s="977" t="s">
        <v>1122</v>
      </c>
      <c r="U8" s="977" t="s">
        <v>1122</v>
      </c>
      <c r="V8" s="977" t="s">
        <v>1122</v>
      </c>
      <c r="W8" s="1056" t="s">
        <v>1123</v>
      </c>
      <c r="X8" s="959"/>
      <c r="Y8" s="981" t="s">
        <v>1124</v>
      </c>
      <c r="Z8" s="977" t="s">
        <v>1124</v>
      </c>
      <c r="AA8" s="977" t="s">
        <v>1124</v>
      </c>
      <c r="AB8" s="977" t="s">
        <v>1124</v>
      </c>
      <c r="AC8" s="977"/>
      <c r="AD8" s="978" t="s">
        <v>1125</v>
      </c>
      <c r="AE8" s="959"/>
      <c r="AF8" s="959"/>
      <c r="AG8" s="959"/>
      <c r="AH8" s="959"/>
      <c r="AI8" s="959"/>
      <c r="AJ8" s="959"/>
      <c r="AK8" s="959"/>
    </row>
    <row r="9" spans="1:37" ht="16.5" thickBot="1">
      <c r="A9" s="959"/>
      <c r="B9" s="983" t="s">
        <v>1126</v>
      </c>
      <c r="C9" s="1902"/>
      <c r="D9" s="984" t="s">
        <v>2355</v>
      </c>
      <c r="E9" s="985" t="s">
        <v>2356</v>
      </c>
      <c r="F9" s="985" t="s">
        <v>2357</v>
      </c>
      <c r="G9" s="985" t="s">
        <v>2358</v>
      </c>
      <c r="H9" s="985" t="s">
        <v>2359</v>
      </c>
      <c r="I9" s="985" t="s">
        <v>2360</v>
      </c>
      <c r="J9" s="985" t="s">
        <v>2361</v>
      </c>
      <c r="K9" s="985" t="s">
        <v>2362</v>
      </c>
      <c r="L9" s="985" t="s">
        <v>2363</v>
      </c>
      <c r="M9" s="985" t="s">
        <v>2364</v>
      </c>
      <c r="N9" s="985" t="s">
        <v>2365</v>
      </c>
      <c r="O9" s="985" t="s">
        <v>2366</v>
      </c>
      <c r="P9" s="985" t="s">
        <v>2367</v>
      </c>
      <c r="Q9" s="985" t="s">
        <v>2368</v>
      </c>
      <c r="R9" s="985" t="s">
        <v>2369</v>
      </c>
      <c r="S9" s="985" t="s">
        <v>2370</v>
      </c>
      <c r="T9" s="985" t="s">
        <v>2371</v>
      </c>
      <c r="U9" s="985" t="s">
        <v>2372</v>
      </c>
      <c r="V9" s="1895" t="s">
        <v>2373</v>
      </c>
      <c r="W9" s="1059"/>
      <c r="X9" s="959"/>
      <c r="Y9" s="984" t="s">
        <v>1127</v>
      </c>
      <c r="Z9" s="985" t="s">
        <v>1128</v>
      </c>
      <c r="AA9" s="985" t="s">
        <v>1129</v>
      </c>
      <c r="AB9" s="985" t="s">
        <v>1130</v>
      </c>
      <c r="AC9" s="985"/>
      <c r="AD9" s="986"/>
      <c r="AE9" s="959"/>
      <c r="AF9" s="959"/>
      <c r="AG9" s="959"/>
      <c r="AH9" s="959"/>
      <c r="AI9" s="959"/>
      <c r="AJ9" s="959"/>
      <c r="AK9" s="959"/>
    </row>
    <row r="10" spans="1:37" ht="15.75">
      <c r="A10" s="959"/>
      <c r="B10" s="967" t="s">
        <v>976</v>
      </c>
      <c r="C10" s="987">
        <v>8905.2129999999997</v>
      </c>
      <c r="D10" s="1061">
        <v>6.6120000000000001</v>
      </c>
      <c r="E10" s="1062">
        <v>3.262</v>
      </c>
      <c r="F10" s="1062">
        <v>35.249000000000002</v>
      </c>
      <c r="G10" s="1062">
        <v>1.2170000000000001</v>
      </c>
      <c r="H10" s="1062">
        <v>0.251</v>
      </c>
      <c r="I10" s="1062">
        <v>0.11600000000000001</v>
      </c>
      <c r="J10" s="1062">
        <v>0.109</v>
      </c>
      <c r="K10" s="1062">
        <v>1.0999999999999999E-2</v>
      </c>
      <c r="L10" s="1062">
        <v>18.86</v>
      </c>
      <c r="M10" s="1062">
        <v>16.501000000000001</v>
      </c>
      <c r="N10" s="1062">
        <v>11.566000000000001</v>
      </c>
      <c r="O10" s="1062">
        <v>57.813000000000002</v>
      </c>
      <c r="P10" s="1062">
        <v>4.0000000000000001E-3</v>
      </c>
      <c r="Q10" s="1062">
        <v>0.01</v>
      </c>
      <c r="R10" s="1062">
        <v>31.893999999999998</v>
      </c>
      <c r="S10" s="1062">
        <v>3.3380000000000001</v>
      </c>
      <c r="T10" s="1062">
        <v>356.93400000000003</v>
      </c>
      <c r="U10" s="1062">
        <v>115.889</v>
      </c>
      <c r="V10" s="1837">
        <v>3.456</v>
      </c>
      <c r="W10" s="991">
        <f>SUM(D10:V10)</f>
        <v>663.0920000000001</v>
      </c>
      <c r="X10" s="959"/>
      <c r="Y10" s="988">
        <v>476.76900000000001</v>
      </c>
      <c r="Z10" s="989">
        <v>57.195999999999998</v>
      </c>
      <c r="AA10" s="989">
        <v>111.45699999999999</v>
      </c>
      <c r="AB10" s="989">
        <v>298</v>
      </c>
      <c r="AC10" s="996"/>
      <c r="AD10" s="991">
        <f t="shared" ref="AD10:AD21" si="0">SUM(Y10:AB10)</f>
        <v>943.42200000000003</v>
      </c>
      <c r="AE10" s="992"/>
      <c r="AF10" s="959"/>
      <c r="AG10" s="959"/>
      <c r="AH10" s="959"/>
      <c r="AI10" s="959"/>
      <c r="AJ10" s="959"/>
      <c r="AK10" s="959"/>
    </row>
    <row r="11" spans="1:37" ht="15.75">
      <c r="A11" s="959"/>
      <c r="B11" s="967" t="s">
        <v>977</v>
      </c>
      <c r="C11" s="993">
        <v>8520.8250000000007</v>
      </c>
      <c r="D11" s="1063">
        <v>7.8239999999999998</v>
      </c>
      <c r="E11" s="994">
        <v>3.2679999999999998</v>
      </c>
      <c r="F11" s="994">
        <v>33.616</v>
      </c>
      <c r="G11" s="994">
        <v>1.524</v>
      </c>
      <c r="H11" s="994">
        <v>0.33300000000000002</v>
      </c>
      <c r="I11" s="994">
        <v>1.6E-2</v>
      </c>
      <c r="J11" s="994">
        <v>4.3999999999999997E-2</v>
      </c>
      <c r="K11" s="994">
        <v>0.01</v>
      </c>
      <c r="L11" s="994">
        <v>19.693000000000001</v>
      </c>
      <c r="M11" s="994">
        <v>16.783999999999999</v>
      </c>
      <c r="N11" s="994">
        <v>10.676</v>
      </c>
      <c r="O11" s="994">
        <v>48.862000000000002</v>
      </c>
      <c r="P11" s="994">
        <v>4.0000000000000001E-3</v>
      </c>
      <c r="Q11" s="994">
        <v>0.01</v>
      </c>
      <c r="R11" s="994">
        <v>33.713000000000001</v>
      </c>
      <c r="S11" s="994">
        <v>3.3959999999999999</v>
      </c>
      <c r="T11" s="994">
        <v>320.75200000000001</v>
      </c>
      <c r="U11" s="994">
        <v>116.399</v>
      </c>
      <c r="V11" s="1838">
        <v>3.4020000000000001</v>
      </c>
      <c r="W11" s="991">
        <f t="shared" ref="W11:W22" si="1">SUM(D11:V11)</f>
        <v>620.32600000000002</v>
      </c>
      <c r="X11" s="959"/>
      <c r="Y11" s="995">
        <v>452.25799999999998</v>
      </c>
      <c r="Z11" s="996">
        <v>49.606000000000002</v>
      </c>
      <c r="AA11" s="996">
        <v>103.605</v>
      </c>
      <c r="AB11" s="996">
        <v>285</v>
      </c>
      <c r="AC11" s="996"/>
      <c r="AD11" s="991">
        <f t="shared" si="0"/>
        <v>890.46899999999994</v>
      </c>
      <c r="AE11" s="992"/>
      <c r="AF11" s="959"/>
      <c r="AG11" s="959"/>
      <c r="AH11" s="959"/>
      <c r="AI11" s="959"/>
      <c r="AJ11" s="959"/>
      <c r="AK11" s="959"/>
    </row>
    <row r="12" spans="1:37" ht="15.75">
      <c r="A12" s="959"/>
      <c r="B12" s="967" t="s">
        <v>795</v>
      </c>
      <c r="C12" s="993">
        <v>8219.3109999999997</v>
      </c>
      <c r="D12" s="1063">
        <v>6.8490000000000002</v>
      </c>
      <c r="E12" s="994">
        <v>3.2509999999999999</v>
      </c>
      <c r="F12" s="994">
        <v>29.286999999999999</v>
      </c>
      <c r="G12" s="994">
        <v>1.4350000000000001</v>
      </c>
      <c r="H12" s="994">
        <v>0.17699999999999999</v>
      </c>
      <c r="I12" s="994">
        <v>3.0000000000000001E-3</v>
      </c>
      <c r="J12" s="994">
        <v>2E-3</v>
      </c>
      <c r="K12" s="994">
        <v>0.01</v>
      </c>
      <c r="L12" s="994">
        <v>19.827000000000002</v>
      </c>
      <c r="M12" s="994">
        <v>16.388999999999999</v>
      </c>
      <c r="N12" s="994">
        <v>10.067</v>
      </c>
      <c r="O12" s="994">
        <v>47.29</v>
      </c>
      <c r="P12" s="994">
        <v>0.09</v>
      </c>
      <c r="Q12" s="994">
        <v>0.01</v>
      </c>
      <c r="R12" s="994">
        <v>33.802999999999997</v>
      </c>
      <c r="S12" s="994">
        <v>3.26</v>
      </c>
      <c r="T12" s="994">
        <v>300.40499999999997</v>
      </c>
      <c r="U12" s="994">
        <v>110.279</v>
      </c>
      <c r="V12" s="1838">
        <v>3.4169999999999998</v>
      </c>
      <c r="W12" s="991">
        <f t="shared" si="1"/>
        <v>585.851</v>
      </c>
      <c r="X12" s="959"/>
      <c r="Y12" s="995">
        <v>438.39699999999999</v>
      </c>
      <c r="Z12" s="996">
        <v>63.192</v>
      </c>
      <c r="AA12" s="996">
        <v>113.012</v>
      </c>
      <c r="AB12" s="996">
        <v>250</v>
      </c>
      <c r="AC12" s="996"/>
      <c r="AD12" s="991">
        <f t="shared" si="0"/>
        <v>864.601</v>
      </c>
      <c r="AE12" s="992"/>
      <c r="AF12" s="959"/>
      <c r="AG12" s="959"/>
      <c r="AH12" s="959"/>
      <c r="AI12" s="959"/>
      <c r="AJ12" s="959"/>
      <c r="AK12" s="959"/>
    </row>
    <row r="13" spans="1:37" ht="15.75">
      <c r="A13" s="959"/>
      <c r="B13" s="967" t="s">
        <v>796</v>
      </c>
      <c r="C13" s="993">
        <v>7680.6530000000002</v>
      </c>
      <c r="D13" s="1063">
        <v>6.5389999999999997</v>
      </c>
      <c r="E13" s="994">
        <v>3.1040000000000001</v>
      </c>
      <c r="F13" s="994">
        <v>23.390999999999998</v>
      </c>
      <c r="G13" s="994">
        <v>1.2709999999999999</v>
      </c>
      <c r="H13" s="994">
        <v>0.16700000000000001</v>
      </c>
      <c r="I13" s="994">
        <v>0</v>
      </c>
      <c r="J13" s="994">
        <v>0</v>
      </c>
      <c r="K13" s="994">
        <v>0.01</v>
      </c>
      <c r="L13" s="994">
        <v>15.997999999999999</v>
      </c>
      <c r="M13" s="994">
        <v>16.324999999999999</v>
      </c>
      <c r="N13" s="994">
        <v>9.8130000000000006</v>
      </c>
      <c r="O13" s="994">
        <v>43.661000000000001</v>
      </c>
      <c r="P13" s="994">
        <v>0.28699999999999998</v>
      </c>
      <c r="Q13" s="994">
        <v>1.0999999999999999E-2</v>
      </c>
      <c r="R13" s="994">
        <v>34.341000000000001</v>
      </c>
      <c r="S13" s="994">
        <v>3.3839999999999999</v>
      </c>
      <c r="T13" s="994">
        <v>235.751</v>
      </c>
      <c r="U13" s="994">
        <v>85.676000000000002</v>
      </c>
      <c r="V13" s="1838">
        <v>3.089</v>
      </c>
      <c r="W13" s="991">
        <f t="shared" si="1"/>
        <v>482.81799999999998</v>
      </c>
      <c r="X13" s="959"/>
      <c r="Y13" s="995">
        <v>408.21600000000001</v>
      </c>
      <c r="Z13" s="996">
        <v>23.956</v>
      </c>
      <c r="AA13" s="996">
        <v>128.90600000000001</v>
      </c>
      <c r="AB13" s="996">
        <v>280.66699999999997</v>
      </c>
      <c r="AC13" s="996"/>
      <c r="AD13" s="991">
        <f t="shared" si="0"/>
        <v>841.74499999999989</v>
      </c>
      <c r="AE13" s="992"/>
      <c r="AF13" s="959"/>
      <c r="AG13" s="959"/>
      <c r="AH13" s="959"/>
      <c r="AI13" s="959"/>
      <c r="AJ13" s="959"/>
      <c r="AK13" s="959"/>
    </row>
    <row r="14" spans="1:37" ht="15.75">
      <c r="A14" s="998"/>
      <c r="B14" s="967" t="s">
        <v>797</v>
      </c>
      <c r="C14" s="993">
        <v>7966.7529999999997</v>
      </c>
      <c r="D14" s="1063">
        <v>5.69</v>
      </c>
      <c r="E14" s="994">
        <v>2.8929999999999998</v>
      </c>
      <c r="F14" s="994">
        <v>12.538</v>
      </c>
      <c r="G14" s="994">
        <v>0.46700000000000003</v>
      </c>
      <c r="H14" s="994">
        <v>0.16900000000000001</v>
      </c>
      <c r="I14" s="994">
        <v>2.1000000000000001E-2</v>
      </c>
      <c r="J14" s="994">
        <v>0</v>
      </c>
      <c r="K14" s="994">
        <v>0.121</v>
      </c>
      <c r="L14" s="994">
        <v>12.478</v>
      </c>
      <c r="M14" s="994">
        <v>18.433</v>
      </c>
      <c r="N14" s="994">
        <v>9.2490000000000006</v>
      </c>
      <c r="O14" s="994">
        <v>34.58</v>
      </c>
      <c r="P14" s="994">
        <v>0.54300000000000004</v>
      </c>
      <c r="Q14" s="994">
        <v>2.5030000000000001</v>
      </c>
      <c r="R14" s="994">
        <v>34.134</v>
      </c>
      <c r="S14" s="994">
        <v>3.141</v>
      </c>
      <c r="T14" s="994">
        <v>129.79</v>
      </c>
      <c r="U14" s="994">
        <v>88.805999999999997</v>
      </c>
      <c r="V14" s="1838">
        <v>3.1360000000000001</v>
      </c>
      <c r="W14" s="991">
        <f t="shared" si="1"/>
        <v>358.69200000000001</v>
      </c>
      <c r="X14" s="959"/>
      <c r="Y14" s="995">
        <v>563.18399999999997</v>
      </c>
      <c r="Z14" s="996">
        <v>79.105000000000004</v>
      </c>
      <c r="AA14" s="996">
        <v>134.30099999999999</v>
      </c>
      <c r="AB14" s="996">
        <v>283.66699999999997</v>
      </c>
      <c r="AC14" s="996"/>
      <c r="AD14" s="991">
        <f t="shared" si="0"/>
        <v>1060.2569999999998</v>
      </c>
      <c r="AE14" s="992"/>
      <c r="AF14" s="959"/>
      <c r="AG14" s="959"/>
      <c r="AH14" s="959"/>
      <c r="AI14" s="959"/>
      <c r="AJ14" s="959"/>
      <c r="AK14" s="959"/>
    </row>
    <row r="15" spans="1:37" ht="15.75">
      <c r="A15" s="959"/>
      <c r="B15" s="967" t="s">
        <v>980</v>
      </c>
      <c r="C15" s="993">
        <v>10026.377</v>
      </c>
      <c r="D15" s="1063">
        <v>6.351</v>
      </c>
      <c r="E15" s="994">
        <v>3.4620000000000002</v>
      </c>
      <c r="F15" s="994">
        <v>16.29</v>
      </c>
      <c r="G15" s="994">
        <v>0.36199999999999999</v>
      </c>
      <c r="H15" s="994">
        <v>2.5999999999999999E-2</v>
      </c>
      <c r="I15" s="994">
        <v>0</v>
      </c>
      <c r="J15" s="994">
        <v>0</v>
      </c>
      <c r="K15" s="994">
        <v>1.0549999999999999</v>
      </c>
      <c r="L15" s="994">
        <v>14.952</v>
      </c>
      <c r="M15" s="994">
        <v>19.584</v>
      </c>
      <c r="N15" s="994">
        <v>9.2509999999999994</v>
      </c>
      <c r="O15" s="994">
        <v>49.103999999999999</v>
      </c>
      <c r="P15" s="994">
        <v>0.52900000000000003</v>
      </c>
      <c r="Q15" s="994">
        <v>2.528</v>
      </c>
      <c r="R15" s="994">
        <v>34.472999999999999</v>
      </c>
      <c r="S15" s="994">
        <v>2.5059999999999998</v>
      </c>
      <c r="T15" s="994">
        <v>182.34200000000001</v>
      </c>
      <c r="U15" s="994">
        <v>109.02800000000001</v>
      </c>
      <c r="V15" s="1838">
        <v>3.754</v>
      </c>
      <c r="W15" s="991">
        <f t="shared" si="1"/>
        <v>455.59700000000004</v>
      </c>
      <c r="X15" s="959"/>
      <c r="Y15" s="995">
        <v>778.03399999999999</v>
      </c>
      <c r="Z15" s="996">
        <v>129.42500000000001</v>
      </c>
      <c r="AA15" s="996">
        <v>178.48099999999999</v>
      </c>
      <c r="AB15" s="996">
        <v>286</v>
      </c>
      <c r="AC15" s="996"/>
      <c r="AD15" s="991">
        <f t="shared" si="0"/>
        <v>1371.94</v>
      </c>
      <c r="AE15" s="992"/>
      <c r="AF15" s="959"/>
      <c r="AG15" s="959"/>
      <c r="AH15" s="959"/>
      <c r="AI15" s="959"/>
      <c r="AJ15" s="959"/>
      <c r="AK15" s="959"/>
    </row>
    <row r="16" spans="1:37" ht="15.75">
      <c r="A16" s="959"/>
      <c r="B16" s="967" t="s">
        <v>1131</v>
      </c>
      <c r="C16" s="993">
        <v>10900.786</v>
      </c>
      <c r="D16" s="1063">
        <v>6.4480000000000004</v>
      </c>
      <c r="E16" s="994">
        <v>3.766</v>
      </c>
      <c r="F16" s="994">
        <v>17.161999999999999</v>
      </c>
      <c r="G16" s="994">
        <v>0.498</v>
      </c>
      <c r="H16" s="994">
        <v>0.17399999999999999</v>
      </c>
      <c r="I16" s="994">
        <v>0</v>
      </c>
      <c r="J16" s="994">
        <v>0</v>
      </c>
      <c r="K16" s="994">
        <v>1.3089999999999999</v>
      </c>
      <c r="L16" s="994">
        <v>15.704000000000001</v>
      </c>
      <c r="M16" s="994">
        <v>21.605</v>
      </c>
      <c r="N16" s="994">
        <v>11.49</v>
      </c>
      <c r="O16" s="994">
        <v>59.497</v>
      </c>
      <c r="P16" s="994">
        <v>0.59599999999999997</v>
      </c>
      <c r="Q16" s="994">
        <v>2.726</v>
      </c>
      <c r="R16" s="994">
        <v>34.868000000000002</v>
      </c>
      <c r="S16" s="994">
        <v>3.1869999999999998</v>
      </c>
      <c r="T16" s="994">
        <v>204.21199999999999</v>
      </c>
      <c r="U16" s="994">
        <v>119.045</v>
      </c>
      <c r="V16" s="1838">
        <v>4.5890000000000004</v>
      </c>
      <c r="W16" s="991">
        <f t="shared" si="1"/>
        <v>506.87599999999998</v>
      </c>
      <c r="X16" s="959"/>
      <c r="Y16" s="995">
        <v>901.38900000000001</v>
      </c>
      <c r="Z16" s="996">
        <v>158.16399999999999</v>
      </c>
      <c r="AA16" s="996">
        <v>200.387</v>
      </c>
      <c r="AB16" s="996">
        <v>297.33300000000003</v>
      </c>
      <c r="AC16" s="996"/>
      <c r="AD16" s="991">
        <f t="shared" si="0"/>
        <v>1557.2729999999999</v>
      </c>
      <c r="AE16" s="992"/>
      <c r="AF16" s="959"/>
      <c r="AG16" s="959"/>
      <c r="AH16" s="959"/>
      <c r="AI16" s="959"/>
      <c r="AJ16" s="959"/>
      <c r="AK16" s="959"/>
    </row>
    <row r="17" spans="1:43" ht="15.75">
      <c r="A17" s="959"/>
      <c r="B17" s="967" t="s">
        <v>982</v>
      </c>
      <c r="C17" s="993">
        <v>10746.507</v>
      </c>
      <c r="D17" s="1063">
        <v>7.1</v>
      </c>
      <c r="E17" s="994">
        <v>3.5150000000000001</v>
      </c>
      <c r="F17" s="994">
        <v>16.977</v>
      </c>
      <c r="G17" s="994">
        <v>0.248</v>
      </c>
      <c r="H17" s="994">
        <v>6.8000000000000005E-2</v>
      </c>
      <c r="I17" s="994">
        <v>0</v>
      </c>
      <c r="J17" s="994">
        <v>0</v>
      </c>
      <c r="K17" s="994">
        <v>1.284</v>
      </c>
      <c r="L17" s="994">
        <v>16.872</v>
      </c>
      <c r="M17" s="994">
        <v>21.187999999999999</v>
      </c>
      <c r="N17" s="994">
        <v>11.618</v>
      </c>
      <c r="O17" s="994">
        <v>56.603999999999999</v>
      </c>
      <c r="P17" s="994">
        <v>0.56599999999999995</v>
      </c>
      <c r="Q17" s="994">
        <v>2.8250000000000002</v>
      </c>
      <c r="R17" s="994">
        <v>34.56</v>
      </c>
      <c r="S17" s="994">
        <v>2.758</v>
      </c>
      <c r="T17" s="994">
        <v>166.22800000000001</v>
      </c>
      <c r="U17" s="994">
        <v>124.824</v>
      </c>
      <c r="V17" s="1838">
        <v>4.7220000000000004</v>
      </c>
      <c r="W17" s="991">
        <f t="shared" si="1"/>
        <v>471.95699999999999</v>
      </c>
      <c r="X17" s="959"/>
      <c r="Y17" s="995">
        <v>909.34299999999996</v>
      </c>
      <c r="Z17" s="996">
        <v>172.667</v>
      </c>
      <c r="AA17" s="996">
        <v>193.70599999999999</v>
      </c>
      <c r="AB17" s="996">
        <v>292.33300000000003</v>
      </c>
      <c r="AC17" s="996"/>
      <c r="AD17" s="991">
        <f t="shared" si="0"/>
        <v>1568.049</v>
      </c>
      <c r="AE17" s="992"/>
      <c r="AF17" s="959"/>
      <c r="AG17" s="959"/>
      <c r="AH17" s="959"/>
      <c r="AI17" s="959"/>
      <c r="AJ17" s="959"/>
      <c r="AK17" s="959"/>
    </row>
    <row r="18" spans="1:43" ht="15.75">
      <c r="A18" s="959"/>
      <c r="B18" s="967" t="s">
        <v>1132</v>
      </c>
      <c r="C18" s="993">
        <v>9649.0120000000006</v>
      </c>
      <c r="D18" s="1063">
        <v>6.008</v>
      </c>
      <c r="E18" s="994">
        <v>3.4409999999999998</v>
      </c>
      <c r="F18" s="994">
        <v>14.974</v>
      </c>
      <c r="G18" s="994">
        <v>0.30399999999999999</v>
      </c>
      <c r="H18" s="994">
        <v>0.22800000000000001</v>
      </c>
      <c r="I18" s="994">
        <v>0</v>
      </c>
      <c r="J18" s="994">
        <v>0</v>
      </c>
      <c r="K18" s="994">
        <v>1.0569999999999999</v>
      </c>
      <c r="L18" s="994">
        <v>14.544</v>
      </c>
      <c r="M18" s="994">
        <v>19.594999999999999</v>
      </c>
      <c r="N18" s="994">
        <v>10.265000000000001</v>
      </c>
      <c r="O18" s="994">
        <v>49.033999999999999</v>
      </c>
      <c r="P18" s="994">
        <v>0.41499999999999998</v>
      </c>
      <c r="Q18" s="994">
        <v>2.641</v>
      </c>
      <c r="R18" s="994">
        <v>34.485999999999997</v>
      </c>
      <c r="S18" s="994">
        <v>3.0190000000000001</v>
      </c>
      <c r="T18" s="994">
        <v>142.08000000000001</v>
      </c>
      <c r="U18" s="994">
        <v>110.001</v>
      </c>
      <c r="V18" s="1838">
        <v>4.2610000000000001</v>
      </c>
      <c r="W18" s="991">
        <f t="shared" si="1"/>
        <v>416.35300000000001</v>
      </c>
      <c r="X18" s="959"/>
      <c r="Y18" s="995">
        <v>788.46500000000003</v>
      </c>
      <c r="Z18" s="996">
        <v>133.56100000000001</v>
      </c>
      <c r="AA18" s="996">
        <v>176.56700000000001</v>
      </c>
      <c r="AB18" s="996">
        <v>275</v>
      </c>
      <c r="AC18" s="996"/>
      <c r="AD18" s="991">
        <f t="shared" si="0"/>
        <v>1373.5930000000001</v>
      </c>
      <c r="AE18" s="992"/>
      <c r="AF18" s="959"/>
      <c r="AG18" s="959"/>
      <c r="AH18" s="959"/>
      <c r="AI18" s="959"/>
      <c r="AJ18" s="959"/>
      <c r="AK18" s="959"/>
    </row>
    <row r="19" spans="1:43" ht="15.75">
      <c r="A19" s="959"/>
      <c r="B19" s="967" t="s">
        <v>984</v>
      </c>
      <c r="C19" s="993">
        <v>7720.8389999999999</v>
      </c>
      <c r="D19" s="1063">
        <v>6.048</v>
      </c>
      <c r="E19" s="994">
        <v>2.9670000000000001</v>
      </c>
      <c r="F19" s="994">
        <v>14.840999999999999</v>
      </c>
      <c r="G19" s="994">
        <v>0.57299999999999995</v>
      </c>
      <c r="H19" s="994">
        <v>0.17299999999999999</v>
      </c>
      <c r="I19" s="994">
        <v>3.5000000000000003E-2</v>
      </c>
      <c r="J19" s="994">
        <v>1.7000000000000001E-2</v>
      </c>
      <c r="K19" s="994">
        <v>0.46700000000000003</v>
      </c>
      <c r="L19" s="994">
        <v>14.647</v>
      </c>
      <c r="M19" s="994">
        <v>17.308</v>
      </c>
      <c r="N19" s="994">
        <v>9.06</v>
      </c>
      <c r="O19" s="994">
        <v>38.215000000000003</v>
      </c>
      <c r="P19" s="994">
        <v>0.22900000000000001</v>
      </c>
      <c r="Q19" s="994">
        <v>0.63900000000000001</v>
      </c>
      <c r="R19" s="994">
        <v>34.389000000000003</v>
      </c>
      <c r="S19" s="994">
        <v>2.7970000000000002</v>
      </c>
      <c r="T19" s="994">
        <v>168.81200000000001</v>
      </c>
      <c r="U19" s="994">
        <v>88.55</v>
      </c>
      <c r="V19" s="1838">
        <v>3.3039999999999998</v>
      </c>
      <c r="W19" s="991">
        <f t="shared" si="1"/>
        <v>403.07099999999997</v>
      </c>
      <c r="X19" s="959"/>
      <c r="Y19" s="995">
        <v>493.60300000000001</v>
      </c>
      <c r="Z19" s="996">
        <v>74.856999999999999</v>
      </c>
      <c r="AA19" s="996">
        <v>133.298</v>
      </c>
      <c r="AB19" s="996">
        <v>278.66699999999997</v>
      </c>
      <c r="AC19" s="996"/>
      <c r="AD19" s="991">
        <f t="shared" si="0"/>
        <v>980.42499999999995</v>
      </c>
      <c r="AE19" s="992"/>
      <c r="AF19" s="959"/>
      <c r="AG19" s="959"/>
      <c r="AH19" s="959"/>
      <c r="AI19" s="959"/>
      <c r="AJ19" s="959"/>
      <c r="AK19" s="959"/>
    </row>
    <row r="20" spans="1:43" ht="15.75">
      <c r="A20" s="959"/>
      <c r="B20" s="967" t="s">
        <v>985</v>
      </c>
      <c r="C20" s="993">
        <v>8357.6059999999998</v>
      </c>
      <c r="D20" s="1063">
        <v>6.5720000000000001</v>
      </c>
      <c r="E20" s="994">
        <v>3.2029999999999998</v>
      </c>
      <c r="F20" s="994">
        <v>26.378</v>
      </c>
      <c r="G20" s="994">
        <v>0.80700000000000005</v>
      </c>
      <c r="H20" s="994">
        <v>0.28899999999999998</v>
      </c>
      <c r="I20" s="994">
        <v>0.13900000000000001</v>
      </c>
      <c r="J20" s="994">
        <v>0.14599999999999999</v>
      </c>
      <c r="K20" s="994">
        <v>1.0999999999999999E-2</v>
      </c>
      <c r="L20" s="994">
        <v>16.942</v>
      </c>
      <c r="M20" s="994">
        <v>15.728</v>
      </c>
      <c r="N20" s="994">
        <v>10.752000000000001</v>
      </c>
      <c r="O20" s="994">
        <v>46.981999999999999</v>
      </c>
      <c r="P20" s="994">
        <v>5.0000000000000001E-3</v>
      </c>
      <c r="Q20" s="994">
        <v>8.9999999999999993E-3</v>
      </c>
      <c r="R20" s="994">
        <v>34.375</v>
      </c>
      <c r="S20" s="994">
        <v>2.992</v>
      </c>
      <c r="T20" s="994">
        <v>286.49400000000003</v>
      </c>
      <c r="U20" s="994">
        <v>106.65</v>
      </c>
      <c r="V20" s="1838">
        <v>3.802</v>
      </c>
      <c r="W20" s="991">
        <f t="shared" si="1"/>
        <v>562.27600000000007</v>
      </c>
      <c r="X20" s="959"/>
      <c r="Y20" s="995">
        <v>406.98200000000003</v>
      </c>
      <c r="Z20" s="996">
        <v>62.896000000000001</v>
      </c>
      <c r="AA20" s="996">
        <v>101.08799999999999</v>
      </c>
      <c r="AB20" s="996">
        <v>312</v>
      </c>
      <c r="AC20" s="996"/>
      <c r="AD20" s="991">
        <f t="shared" si="0"/>
        <v>882.96600000000001</v>
      </c>
      <c r="AE20" s="992"/>
      <c r="AF20" s="959"/>
      <c r="AG20" s="959"/>
      <c r="AH20" s="959"/>
      <c r="AI20" s="959"/>
      <c r="AJ20" s="959"/>
      <c r="AK20" s="959"/>
    </row>
    <row r="21" spans="1:43" ht="16.5" thickBot="1">
      <c r="A21" s="959"/>
      <c r="B21" s="983" t="s">
        <v>986</v>
      </c>
      <c r="C21" s="1865">
        <v>8631.0920000000006</v>
      </c>
      <c r="D21" s="1064">
        <v>6.53</v>
      </c>
      <c r="E21" s="1601">
        <v>3.1120000000000001</v>
      </c>
      <c r="F21" s="1601">
        <v>30.856000000000002</v>
      </c>
      <c r="G21" s="1601">
        <v>1.327</v>
      </c>
      <c r="H21" s="1601">
        <v>0.34499999999999997</v>
      </c>
      <c r="I21" s="1601">
        <v>0.182</v>
      </c>
      <c r="J21" s="1601">
        <v>0.13800000000000001</v>
      </c>
      <c r="K21" s="1601">
        <v>8.9999999999999993E-3</v>
      </c>
      <c r="L21" s="1601">
        <v>17.95</v>
      </c>
      <c r="M21" s="1601">
        <v>16.128</v>
      </c>
      <c r="N21" s="1601">
        <v>11.129</v>
      </c>
      <c r="O21" s="1601">
        <v>51.89</v>
      </c>
      <c r="P21" s="1601">
        <v>5.0000000000000001E-3</v>
      </c>
      <c r="Q21" s="1601">
        <v>0.04</v>
      </c>
      <c r="R21" s="1601">
        <v>33.968000000000004</v>
      </c>
      <c r="S21" s="1601">
        <v>3.4039999999999999</v>
      </c>
      <c r="T21" s="1601">
        <v>318.488</v>
      </c>
      <c r="U21" s="1601">
        <v>118.075</v>
      </c>
      <c r="V21" s="1866">
        <v>4.0190000000000001</v>
      </c>
      <c r="W21" s="991">
        <f t="shared" si="1"/>
        <v>617.59500000000003</v>
      </c>
      <c r="X21" s="959"/>
      <c r="Y21" s="999">
        <v>442.827</v>
      </c>
      <c r="Z21" s="1000">
        <v>103.883</v>
      </c>
      <c r="AA21" s="1000">
        <v>127.544</v>
      </c>
      <c r="AB21" s="1000">
        <v>230.667</v>
      </c>
      <c r="AC21" s="996"/>
      <c r="AD21" s="986">
        <f t="shared" si="0"/>
        <v>904.92100000000005</v>
      </c>
      <c r="AE21" s="992"/>
      <c r="AF21" s="959"/>
      <c r="AG21" s="959"/>
      <c r="AH21" s="959"/>
      <c r="AI21" s="959"/>
      <c r="AJ21" s="959"/>
      <c r="AK21" s="959"/>
    </row>
    <row r="22" spans="1:43" ht="16.5" thickBot="1">
      <c r="A22" s="959"/>
      <c r="B22" s="1002" t="s">
        <v>111</v>
      </c>
      <c r="C22" s="986">
        <f t="shared" ref="C22:T22" si="2">SUM(C10:C21)</f>
        <v>107324.97400000002</v>
      </c>
      <c r="D22" s="1039">
        <f t="shared" si="2"/>
        <v>78.570999999999998</v>
      </c>
      <c r="E22" s="1040">
        <f t="shared" si="2"/>
        <v>39.244000000000007</v>
      </c>
      <c r="F22" s="1040">
        <f t="shared" si="2"/>
        <v>271.55900000000003</v>
      </c>
      <c r="G22" s="1040">
        <f t="shared" si="2"/>
        <v>10.033000000000001</v>
      </c>
      <c r="H22" s="1040">
        <f t="shared" si="2"/>
        <v>2.4000000000000004</v>
      </c>
      <c r="I22" s="1040">
        <f t="shared" si="2"/>
        <v>0.51200000000000001</v>
      </c>
      <c r="J22" s="1040">
        <f t="shared" si="2"/>
        <v>0.45599999999999996</v>
      </c>
      <c r="K22" s="1040">
        <f t="shared" si="2"/>
        <v>5.3539999999999992</v>
      </c>
      <c r="L22" s="1040">
        <f t="shared" si="2"/>
        <v>198.46700000000001</v>
      </c>
      <c r="M22" s="1040">
        <f t="shared" si="2"/>
        <v>215.56799999999998</v>
      </c>
      <c r="N22" s="1040">
        <f t="shared" si="2"/>
        <v>124.93599999999999</v>
      </c>
      <c r="O22" s="1040">
        <f t="shared" si="2"/>
        <v>583.53199999999993</v>
      </c>
      <c r="P22" s="1040">
        <f t="shared" si="2"/>
        <v>3.2729999999999997</v>
      </c>
      <c r="Q22" s="1040">
        <f t="shared" si="2"/>
        <v>13.952</v>
      </c>
      <c r="R22" s="1040">
        <f t="shared" si="2"/>
        <v>409.00400000000002</v>
      </c>
      <c r="S22" s="1040">
        <f t="shared" si="2"/>
        <v>37.182000000000002</v>
      </c>
      <c r="T22" s="1040">
        <f t="shared" si="2"/>
        <v>2812.288</v>
      </c>
      <c r="U22" s="1040">
        <f t="shared" ref="U22:V22" si="3">SUM(U10:U21)</f>
        <v>1293.222</v>
      </c>
      <c r="V22" s="1040">
        <f t="shared" si="3"/>
        <v>44.951000000000008</v>
      </c>
      <c r="W22" s="1808">
        <f t="shared" si="1"/>
        <v>6144.5039999999999</v>
      </c>
      <c r="X22" s="1075"/>
      <c r="Y22" s="1039">
        <f t="shared" ref="Y22:AD22" si="4">SUM(Y10:Y21)</f>
        <v>7059.4670000000006</v>
      </c>
      <c r="Z22" s="1040">
        <f t="shared" si="4"/>
        <v>1108.508</v>
      </c>
      <c r="AA22" s="1040">
        <f t="shared" si="4"/>
        <v>1702.3519999999999</v>
      </c>
      <c r="AB22" s="1040">
        <f t="shared" si="4"/>
        <v>3369.3339999999998</v>
      </c>
      <c r="AC22" s="1067"/>
      <c r="AD22" s="986">
        <f t="shared" si="4"/>
        <v>13239.661</v>
      </c>
      <c r="AE22" s="992"/>
      <c r="AF22" s="959"/>
      <c r="AG22" s="959"/>
      <c r="AH22" s="959"/>
      <c r="AI22" s="1006"/>
      <c r="AJ22" s="959"/>
      <c r="AK22" s="959"/>
    </row>
    <row r="23" spans="1:43" ht="16.5" thickBot="1">
      <c r="A23" s="959"/>
      <c r="B23" s="983" t="s">
        <v>1133</v>
      </c>
      <c r="C23" s="1007">
        <f t="shared" ref="C23:W23" si="5">+C22/12</f>
        <v>8943.7478333333347</v>
      </c>
      <c r="D23" s="1009">
        <f t="shared" si="5"/>
        <v>6.5475833333333329</v>
      </c>
      <c r="E23" s="1009">
        <f t="shared" si="5"/>
        <v>3.2703333333333338</v>
      </c>
      <c r="F23" s="1009">
        <f t="shared" si="5"/>
        <v>22.62991666666667</v>
      </c>
      <c r="G23" s="1009">
        <f t="shared" si="5"/>
        <v>0.8360833333333334</v>
      </c>
      <c r="H23" s="1009">
        <f t="shared" si="5"/>
        <v>0.20000000000000004</v>
      </c>
      <c r="I23" s="1009">
        <f t="shared" si="5"/>
        <v>4.2666666666666665E-2</v>
      </c>
      <c r="J23" s="1009">
        <f t="shared" si="5"/>
        <v>3.7999999999999999E-2</v>
      </c>
      <c r="K23" s="1009">
        <f t="shared" si="5"/>
        <v>0.4461666666666666</v>
      </c>
      <c r="L23" s="1009">
        <f t="shared" si="5"/>
        <v>16.538916666666669</v>
      </c>
      <c r="M23" s="1009">
        <f t="shared" si="5"/>
        <v>17.963999999999999</v>
      </c>
      <c r="N23" s="1009">
        <f t="shared" si="5"/>
        <v>10.411333333333333</v>
      </c>
      <c r="O23" s="1009">
        <f t="shared" si="5"/>
        <v>48.627666666666663</v>
      </c>
      <c r="P23" s="1009">
        <f t="shared" si="5"/>
        <v>0.27274999999999999</v>
      </c>
      <c r="Q23" s="1009">
        <f t="shared" si="5"/>
        <v>1.1626666666666667</v>
      </c>
      <c r="R23" s="1009">
        <f t="shared" si="5"/>
        <v>34.083666666666666</v>
      </c>
      <c r="S23" s="1009">
        <f t="shared" si="5"/>
        <v>3.0985</v>
      </c>
      <c r="T23" s="1009">
        <f t="shared" si="5"/>
        <v>234.35733333333334</v>
      </c>
      <c r="U23" s="1009">
        <f t="shared" si="5"/>
        <v>107.7685</v>
      </c>
      <c r="V23" s="1009">
        <f t="shared" si="5"/>
        <v>3.7459166666666674</v>
      </c>
      <c r="W23" s="1007">
        <f t="shared" si="5"/>
        <v>512.04200000000003</v>
      </c>
      <c r="X23" s="959"/>
      <c r="Y23" s="1008">
        <f t="shared" ref="Y23:AD23" si="6">+Y22/12</f>
        <v>588.28891666666675</v>
      </c>
      <c r="Z23" s="1009">
        <f t="shared" si="6"/>
        <v>92.375666666666675</v>
      </c>
      <c r="AA23" s="1009">
        <f t="shared" si="6"/>
        <v>141.86266666666666</v>
      </c>
      <c r="AB23" s="1009">
        <f t="shared" si="6"/>
        <v>280.77783333333332</v>
      </c>
      <c r="AC23" s="1009"/>
      <c r="AD23" s="1007">
        <f t="shared" si="6"/>
        <v>1103.3050833333334</v>
      </c>
      <c r="AE23" s="992"/>
      <c r="AF23" s="959"/>
      <c r="AG23" s="959"/>
      <c r="AH23" s="959"/>
      <c r="AI23" s="959"/>
      <c r="AJ23" s="959"/>
      <c r="AK23" s="959"/>
    </row>
    <row r="24" spans="1:43" ht="16.5" thickBot="1">
      <c r="A24" s="959"/>
      <c r="B24" s="959"/>
      <c r="C24" s="959"/>
      <c r="D24" s="1006"/>
      <c r="E24" s="1006"/>
      <c r="F24" s="1006"/>
      <c r="G24" s="1006"/>
      <c r="H24" s="1006"/>
      <c r="I24" s="1006"/>
      <c r="J24" s="1006"/>
      <c r="K24" s="1006"/>
      <c r="L24" s="1006"/>
      <c r="M24" s="1006"/>
      <c r="N24" s="1006"/>
      <c r="O24" s="1006"/>
      <c r="P24" s="1006"/>
      <c r="Q24" s="1006"/>
      <c r="R24" s="959"/>
      <c r="S24" s="959"/>
      <c r="T24" s="959"/>
      <c r="U24" s="959"/>
      <c r="V24" s="959"/>
      <c r="W24" s="959"/>
      <c r="X24" s="959"/>
      <c r="Y24" s="959"/>
      <c r="Z24" s="959"/>
      <c r="AA24" s="1006"/>
      <c r="AB24" s="959"/>
      <c r="AC24" s="959"/>
      <c r="AD24" s="959"/>
      <c r="AE24" s="959"/>
      <c r="AF24" s="959"/>
      <c r="AG24" s="959"/>
      <c r="AH24" s="959"/>
    </row>
    <row r="25" spans="1:43" ht="16.5" thickBot="1">
      <c r="A25" s="959"/>
      <c r="B25" s="1807"/>
      <c r="C25" s="1976" t="s">
        <v>1134</v>
      </c>
      <c r="D25" s="1977"/>
      <c r="E25" s="1977"/>
      <c r="F25" s="1977"/>
      <c r="G25" s="1977"/>
      <c r="H25" s="1977"/>
      <c r="I25" s="1977"/>
      <c r="J25" s="1977"/>
      <c r="K25" s="1977"/>
      <c r="L25" s="1977"/>
      <c r="M25" s="1977"/>
      <c r="N25" s="1977"/>
      <c r="O25" s="1977"/>
      <c r="P25" s="1977"/>
      <c r="Q25" s="1977"/>
      <c r="R25" s="1977"/>
      <c r="S25" s="1977"/>
      <c r="T25" s="1977"/>
      <c r="U25" s="1977"/>
      <c r="V25" s="1977"/>
      <c r="W25" s="1977"/>
      <c r="X25" s="1977"/>
      <c r="Y25" s="1977"/>
      <c r="Z25" s="1977"/>
      <c r="AA25" s="1977"/>
      <c r="AB25" s="1977"/>
      <c r="AC25" s="1977"/>
      <c r="AD25" s="1977"/>
      <c r="AE25" s="1977"/>
      <c r="AF25" s="1977"/>
      <c r="AG25" s="1977"/>
      <c r="AH25" s="1977"/>
      <c r="AI25" s="1978"/>
      <c r="AJ25" s="959"/>
    </row>
    <row r="26" spans="1:43" ht="16.5" thickBot="1">
      <c r="A26" s="959"/>
      <c r="B26" s="967" t="s">
        <v>702</v>
      </c>
      <c r="C26" s="1011" t="s">
        <v>1135</v>
      </c>
      <c r="D26" s="1012" t="s">
        <v>1136</v>
      </c>
      <c r="E26" s="1012" t="s">
        <v>1137</v>
      </c>
      <c r="F26" s="1012" t="s">
        <v>1138</v>
      </c>
      <c r="G26" s="1012" t="s">
        <v>1139</v>
      </c>
      <c r="H26" s="1012" t="s">
        <v>1140</v>
      </c>
      <c r="I26" s="1012" t="s">
        <v>1141</v>
      </c>
      <c r="J26" s="1012" t="s">
        <v>1142</v>
      </c>
      <c r="K26" s="1012" t="s">
        <v>1143</v>
      </c>
      <c r="L26" s="1012" t="s">
        <v>1144</v>
      </c>
      <c r="M26" s="1012" t="s">
        <v>1145</v>
      </c>
      <c r="N26" s="1012" t="s">
        <v>1146</v>
      </c>
      <c r="O26" s="1012" t="s">
        <v>1147</v>
      </c>
      <c r="P26" s="1012" t="s">
        <v>1148</v>
      </c>
      <c r="Q26" s="1012" t="s">
        <v>1149</v>
      </c>
      <c r="R26" s="1012" t="s">
        <v>1150</v>
      </c>
      <c r="S26" s="1012" t="s">
        <v>1151</v>
      </c>
      <c r="T26" s="1012" t="s">
        <v>1152</v>
      </c>
      <c r="U26" s="1012" t="s">
        <v>1153</v>
      </c>
      <c r="V26" s="1012" t="s">
        <v>1154</v>
      </c>
      <c r="W26" s="1012" t="s">
        <v>1155</v>
      </c>
      <c r="X26" s="1012" t="s">
        <v>1156</v>
      </c>
      <c r="Y26" s="1012" t="s">
        <v>1571</v>
      </c>
      <c r="Z26" s="1012" t="s">
        <v>1573</v>
      </c>
      <c r="AA26" s="1012" t="s">
        <v>1574</v>
      </c>
      <c r="AB26" s="1012" t="s">
        <v>1774</v>
      </c>
      <c r="AC26" s="1012" t="s">
        <v>1800</v>
      </c>
      <c r="AD26" s="1012" t="s">
        <v>1817</v>
      </c>
      <c r="AE26" s="1012" t="s">
        <v>1878</v>
      </c>
      <c r="AF26" s="1012" t="s">
        <v>1879</v>
      </c>
      <c r="AG26" s="1012" t="s">
        <v>1880</v>
      </c>
      <c r="AH26" s="1013" t="s">
        <v>1157</v>
      </c>
      <c r="AI26" s="967"/>
      <c r="AJ26" s="959"/>
      <c r="AK26" s="959"/>
      <c r="AL26" s="959"/>
      <c r="AM26" s="959"/>
      <c r="AN26" s="959"/>
      <c r="AO26" s="959"/>
      <c r="AP26" s="959"/>
      <c r="AQ26" s="959"/>
    </row>
    <row r="27" spans="1:43" ht="68.25" customHeight="1" thickBot="1">
      <c r="A27" s="959"/>
      <c r="B27" s="973" t="s">
        <v>1115</v>
      </c>
      <c r="C27" s="1538" t="s">
        <v>2</v>
      </c>
      <c r="D27" s="1539" t="s">
        <v>2374</v>
      </c>
      <c r="E27" s="1539" t="s">
        <v>2375</v>
      </c>
      <c r="F27" s="1539" t="s">
        <v>2376</v>
      </c>
      <c r="G27" s="1539" t="s">
        <v>2377</v>
      </c>
      <c r="H27" s="1539" t="s">
        <v>2378</v>
      </c>
      <c r="I27" s="1539" t="s">
        <v>2379</v>
      </c>
      <c r="J27" s="1539" t="s">
        <v>2380</v>
      </c>
      <c r="K27" s="1539" t="s">
        <v>2381</v>
      </c>
      <c r="L27" s="1539" t="s">
        <v>2382</v>
      </c>
      <c r="M27" s="1539" t="s">
        <v>2383</v>
      </c>
      <c r="N27" s="1539" t="s">
        <v>2383</v>
      </c>
      <c r="O27" s="1539" t="s">
        <v>2384</v>
      </c>
      <c r="P27" s="1539" t="s">
        <v>2385</v>
      </c>
      <c r="Q27" s="1539" t="s">
        <v>2385</v>
      </c>
      <c r="R27" s="1539" t="s">
        <v>2385</v>
      </c>
      <c r="S27" s="1539" t="s">
        <v>2385</v>
      </c>
      <c r="T27" s="1539" t="s">
        <v>2385</v>
      </c>
      <c r="U27" s="1539" t="s">
        <v>2385</v>
      </c>
      <c r="V27" s="1539" t="s">
        <v>2385</v>
      </c>
      <c r="W27" s="1539" t="s">
        <v>2385</v>
      </c>
      <c r="X27" s="1539" t="s">
        <v>2385</v>
      </c>
      <c r="Y27" s="1539" t="s">
        <v>2385</v>
      </c>
      <c r="Z27" s="1539" t="s">
        <v>2386</v>
      </c>
      <c r="AA27" s="1539" t="s">
        <v>2387</v>
      </c>
      <c r="AB27" s="1539" t="s">
        <v>2388</v>
      </c>
      <c r="AC27" s="1539" t="s">
        <v>2389</v>
      </c>
      <c r="AD27" s="1539" t="s">
        <v>2390</v>
      </c>
      <c r="AE27" s="1539" t="s">
        <v>2391</v>
      </c>
      <c r="AF27" s="1539" t="s">
        <v>2392</v>
      </c>
      <c r="AG27" s="1539" t="s">
        <v>2393</v>
      </c>
      <c r="AH27" s="1537"/>
      <c r="AI27" s="959"/>
      <c r="AJ27" s="959"/>
      <c r="AK27" s="959"/>
      <c r="AL27" s="959"/>
      <c r="AM27" s="959"/>
      <c r="AN27" s="959"/>
      <c r="AO27" s="1014" t="s">
        <v>296</v>
      </c>
      <c r="AP27" s="959"/>
      <c r="AQ27" s="959"/>
    </row>
    <row r="28" spans="1:43" ht="15.75">
      <c r="A28" s="959"/>
      <c r="B28" s="979" t="s">
        <v>1120</v>
      </c>
      <c r="C28" s="1015" t="s">
        <v>1158</v>
      </c>
      <c r="D28" s="1016" t="s">
        <v>1158</v>
      </c>
      <c r="E28" s="1016" t="s">
        <v>1158</v>
      </c>
      <c r="F28" s="1016" t="s">
        <v>1158</v>
      </c>
      <c r="G28" s="1016" t="s">
        <v>1158</v>
      </c>
      <c r="H28" s="1016" t="s">
        <v>1158</v>
      </c>
      <c r="I28" s="1016" t="s">
        <v>1158</v>
      </c>
      <c r="J28" s="1016" t="s">
        <v>1158</v>
      </c>
      <c r="K28" s="1016" t="s">
        <v>1158</v>
      </c>
      <c r="L28" s="1016" t="s">
        <v>1158</v>
      </c>
      <c r="M28" s="1016" t="s">
        <v>1158</v>
      </c>
      <c r="N28" s="1017" t="s">
        <v>1158</v>
      </c>
      <c r="O28" s="1017" t="s">
        <v>1158</v>
      </c>
      <c r="P28" s="1017" t="s">
        <v>1158</v>
      </c>
      <c r="Q28" s="1017" t="s">
        <v>1158</v>
      </c>
      <c r="R28" s="1017" t="s">
        <v>1158</v>
      </c>
      <c r="S28" s="1017" t="s">
        <v>1158</v>
      </c>
      <c r="T28" s="1017" t="s">
        <v>1158</v>
      </c>
      <c r="U28" s="1017" t="s">
        <v>1158</v>
      </c>
      <c r="V28" s="1017" t="s">
        <v>1158</v>
      </c>
      <c r="W28" s="1017" t="s">
        <v>1158</v>
      </c>
      <c r="X28" s="1017"/>
      <c r="Y28" s="1017" t="s">
        <v>1158</v>
      </c>
      <c r="Z28" s="1017" t="s">
        <v>1158</v>
      </c>
      <c r="AA28" s="1017" t="s">
        <v>1158</v>
      </c>
      <c r="AB28" s="1017" t="s">
        <v>1158</v>
      </c>
      <c r="AC28" s="1017" t="s">
        <v>1158</v>
      </c>
      <c r="AD28" s="1017" t="s">
        <v>1158</v>
      </c>
      <c r="AE28" s="1017" t="s">
        <v>1158</v>
      </c>
      <c r="AF28" s="1017" t="s">
        <v>1158</v>
      </c>
      <c r="AG28" s="1017" t="s">
        <v>1158</v>
      </c>
      <c r="AH28" s="1904" t="s">
        <v>1159</v>
      </c>
      <c r="AI28" s="959"/>
      <c r="AJ28" s="1018" t="s">
        <v>1160</v>
      </c>
      <c r="AK28" s="1019">
        <v>0.01</v>
      </c>
      <c r="AL28" s="1018" t="s">
        <v>1161</v>
      </c>
      <c r="AM28" s="1018" t="s">
        <v>1162</v>
      </c>
      <c r="AN28" s="959"/>
      <c r="AO28" s="1972" t="s">
        <v>1163</v>
      </c>
      <c r="AP28" s="959"/>
      <c r="AQ28" s="959"/>
    </row>
    <row r="29" spans="1:43" ht="16.5" thickBot="1">
      <c r="A29" s="959"/>
      <c r="B29" s="983" t="s">
        <v>1126</v>
      </c>
      <c r="C29" s="1020" t="s">
        <v>2394</v>
      </c>
      <c r="D29" s="1021" t="s">
        <v>2395</v>
      </c>
      <c r="E29" s="1021" t="s">
        <v>2396</v>
      </c>
      <c r="F29" s="1021" t="s">
        <v>2397</v>
      </c>
      <c r="G29" s="1021" t="s">
        <v>2398</v>
      </c>
      <c r="H29" s="1021" t="s">
        <v>2399</v>
      </c>
      <c r="I29" s="1021" t="s">
        <v>2400</v>
      </c>
      <c r="J29" s="1021" t="s">
        <v>2401</v>
      </c>
      <c r="K29" s="1021" t="s">
        <v>2402</v>
      </c>
      <c r="L29" s="1021" t="s">
        <v>2403</v>
      </c>
      <c r="M29" s="1021" t="s">
        <v>2404</v>
      </c>
      <c r="N29" s="1021" t="s">
        <v>2405</v>
      </c>
      <c r="O29" s="1021" t="s">
        <v>2406</v>
      </c>
      <c r="P29" s="1021" t="s">
        <v>2407</v>
      </c>
      <c r="Q29" s="1021" t="s">
        <v>2408</v>
      </c>
      <c r="R29" s="1021" t="s">
        <v>2409</v>
      </c>
      <c r="S29" s="1021" t="s">
        <v>2410</v>
      </c>
      <c r="T29" s="1021" t="s">
        <v>2411</v>
      </c>
      <c r="U29" s="1021" t="s">
        <v>2412</v>
      </c>
      <c r="V29" s="1021" t="s">
        <v>2413</v>
      </c>
      <c r="W29" s="1021" t="s">
        <v>2414</v>
      </c>
      <c r="X29" s="1021" t="s">
        <v>2415</v>
      </c>
      <c r="Y29" s="1021" t="s">
        <v>2416</v>
      </c>
      <c r="Z29" s="1021" t="s">
        <v>2417</v>
      </c>
      <c r="AA29" s="1021" t="s">
        <v>2418</v>
      </c>
      <c r="AB29" s="1021" t="s">
        <v>2419</v>
      </c>
      <c r="AC29" s="1021" t="s">
        <v>2420</v>
      </c>
      <c r="AD29" s="1021" t="s">
        <v>2421</v>
      </c>
      <c r="AE29" s="1021" t="s">
        <v>2422</v>
      </c>
      <c r="AF29" s="1021" t="s">
        <v>2423</v>
      </c>
      <c r="AG29" s="1021"/>
      <c r="AH29" s="1022"/>
      <c r="AI29" s="959"/>
      <c r="AJ29" s="1023" t="s">
        <v>1164</v>
      </c>
      <c r="AK29" s="1023" t="s">
        <v>1165</v>
      </c>
      <c r="AL29" s="1024" t="s">
        <v>1166</v>
      </c>
      <c r="AM29" s="1024" t="s">
        <v>1167</v>
      </c>
      <c r="AN29" s="959"/>
      <c r="AO29" s="1973"/>
      <c r="AP29" s="959"/>
      <c r="AQ29" s="959"/>
    </row>
    <row r="30" spans="1:43" ht="15.75">
      <c r="A30" s="959"/>
      <c r="B30" s="967" t="s">
        <v>976</v>
      </c>
      <c r="C30" s="1025">
        <v>1855</v>
      </c>
      <c r="D30" s="1026">
        <v>48</v>
      </c>
      <c r="E30" s="1026">
        <v>30</v>
      </c>
      <c r="F30" s="1026">
        <v>56</v>
      </c>
      <c r="G30" s="1026">
        <v>50</v>
      </c>
      <c r="H30" s="1026">
        <v>13</v>
      </c>
      <c r="I30" s="1026">
        <v>10</v>
      </c>
      <c r="J30" s="1026">
        <v>0</v>
      </c>
      <c r="K30" s="1026">
        <v>5</v>
      </c>
      <c r="L30" s="1026">
        <v>0</v>
      </c>
      <c r="M30" s="1026">
        <v>0</v>
      </c>
      <c r="N30" s="1026">
        <v>80</v>
      </c>
      <c r="O30" s="1026">
        <v>0</v>
      </c>
      <c r="P30" s="1026">
        <v>80</v>
      </c>
      <c r="Q30" s="1026">
        <v>100</v>
      </c>
      <c r="R30" s="1026">
        <v>100</v>
      </c>
      <c r="S30" s="1026">
        <v>100</v>
      </c>
      <c r="T30" s="1026">
        <v>50</v>
      </c>
      <c r="U30" s="1026">
        <v>150</v>
      </c>
      <c r="V30" s="1026">
        <v>100</v>
      </c>
      <c r="W30" s="1026">
        <v>100</v>
      </c>
      <c r="X30" s="1026">
        <v>100</v>
      </c>
      <c r="Y30" s="1026">
        <v>100</v>
      </c>
      <c r="Z30" s="1026">
        <v>99</v>
      </c>
      <c r="AA30" s="1026">
        <v>4</v>
      </c>
      <c r="AB30" s="1026">
        <v>19</v>
      </c>
      <c r="AC30" s="1026">
        <v>25</v>
      </c>
      <c r="AD30" s="1026">
        <v>25</v>
      </c>
      <c r="AE30" s="1026">
        <v>22</v>
      </c>
      <c r="AF30" s="1026">
        <v>11</v>
      </c>
      <c r="AG30" s="1905">
        <v>111.03099999999999</v>
      </c>
      <c r="AH30" s="1027">
        <f t="shared" ref="AH30:AH41" si="7">SUM(C30:AG30)</f>
        <v>3443.0309999999999</v>
      </c>
      <c r="AI30" s="959"/>
      <c r="AJ30" s="1727">
        <f t="shared" ref="AJ30:AJ41" si="8">+C10+W10+AD10</f>
        <v>10511.727000000001</v>
      </c>
      <c r="AK30" s="1726">
        <f>(AJ30*1.01)+(AL30*0.01)</f>
        <v>10618.809083333335</v>
      </c>
      <c r="AL30" s="1028">
        <v>196.48133333333337</v>
      </c>
      <c r="AM30" s="1029">
        <f>AK30+AL30</f>
        <v>10815.290416666669</v>
      </c>
      <c r="AN30" s="959"/>
      <c r="AO30" s="1030">
        <f>+AM30+AH30</f>
        <v>14258.321416666669</v>
      </c>
      <c r="AP30" s="959"/>
      <c r="AQ30" s="959"/>
    </row>
    <row r="31" spans="1:43" ht="15.75">
      <c r="A31" s="959"/>
      <c r="B31" s="967" t="s">
        <v>977</v>
      </c>
      <c r="C31" s="1031">
        <v>1855</v>
      </c>
      <c r="D31" s="1032">
        <v>48</v>
      </c>
      <c r="E31" s="1032">
        <v>30</v>
      </c>
      <c r="F31" s="1032">
        <v>56</v>
      </c>
      <c r="G31" s="1032">
        <v>50</v>
      </c>
      <c r="H31" s="1032">
        <v>13</v>
      </c>
      <c r="I31" s="1032">
        <v>10</v>
      </c>
      <c r="J31" s="1032">
        <v>0</v>
      </c>
      <c r="K31" s="1032">
        <v>5</v>
      </c>
      <c r="L31" s="1032">
        <v>0</v>
      </c>
      <c r="M31" s="1032">
        <v>0</v>
      </c>
      <c r="N31" s="1032">
        <v>80</v>
      </c>
      <c r="O31" s="1032">
        <v>0</v>
      </c>
      <c r="P31" s="1032">
        <v>80</v>
      </c>
      <c r="Q31" s="1032">
        <v>100</v>
      </c>
      <c r="R31" s="1032">
        <v>100</v>
      </c>
      <c r="S31" s="1032">
        <v>100</v>
      </c>
      <c r="T31" s="1032">
        <v>50</v>
      </c>
      <c r="U31" s="1032">
        <v>150</v>
      </c>
      <c r="V31" s="1032">
        <v>100</v>
      </c>
      <c r="W31" s="1032">
        <v>100</v>
      </c>
      <c r="X31" s="1032">
        <v>100</v>
      </c>
      <c r="Y31" s="1032">
        <v>100</v>
      </c>
      <c r="Z31" s="1032">
        <v>99</v>
      </c>
      <c r="AA31" s="1032">
        <v>4</v>
      </c>
      <c r="AB31" s="1032">
        <v>19</v>
      </c>
      <c r="AC31" s="1032">
        <v>25</v>
      </c>
      <c r="AD31" s="1032">
        <v>25</v>
      </c>
      <c r="AE31" s="1032">
        <v>22</v>
      </c>
      <c r="AF31" s="1032">
        <v>11</v>
      </c>
      <c r="AG31" s="1906">
        <v>111.03099999999999</v>
      </c>
      <c r="AH31" s="1027">
        <f t="shared" si="7"/>
        <v>3443.0309999999999</v>
      </c>
      <c r="AI31" s="959"/>
      <c r="AJ31" s="1727">
        <f t="shared" si="8"/>
        <v>10031.620000000001</v>
      </c>
      <c r="AK31" s="1727">
        <f t="shared" ref="AK31:AK41" si="9">(AJ31*1.01)+(AL31*0.01)</f>
        <v>10133.730873333334</v>
      </c>
      <c r="AL31" s="1033">
        <v>179.46733333333336</v>
      </c>
      <c r="AM31" s="1030">
        <f t="shared" ref="AM31:AM41" si="10">AK31+AL31</f>
        <v>10313.198206666668</v>
      </c>
      <c r="AN31" s="959"/>
      <c r="AO31" s="1030">
        <f t="shared" ref="AO31:AO41" si="11">+AM31+AH31</f>
        <v>13756.229206666667</v>
      </c>
      <c r="AP31" s="959"/>
      <c r="AQ31" s="959"/>
    </row>
    <row r="32" spans="1:43" ht="15.75">
      <c r="A32" s="959"/>
      <c r="B32" s="967" t="s">
        <v>795</v>
      </c>
      <c r="C32" s="1031">
        <v>1855</v>
      </c>
      <c r="D32" s="1032">
        <v>48</v>
      </c>
      <c r="E32" s="1032">
        <v>30</v>
      </c>
      <c r="F32" s="1032">
        <v>56</v>
      </c>
      <c r="G32" s="1032">
        <v>50</v>
      </c>
      <c r="H32" s="1032">
        <v>13</v>
      </c>
      <c r="I32" s="1032">
        <v>10</v>
      </c>
      <c r="J32" s="1032">
        <v>0</v>
      </c>
      <c r="K32" s="1032">
        <v>5</v>
      </c>
      <c r="L32" s="1032">
        <v>10</v>
      </c>
      <c r="M32" s="1032">
        <v>0</v>
      </c>
      <c r="N32" s="1032">
        <v>80</v>
      </c>
      <c r="O32" s="1032">
        <v>0</v>
      </c>
      <c r="P32" s="1032">
        <v>80</v>
      </c>
      <c r="Q32" s="1032">
        <v>100</v>
      </c>
      <c r="R32" s="1032">
        <v>100</v>
      </c>
      <c r="S32" s="1032">
        <v>100</v>
      </c>
      <c r="T32" s="1032">
        <v>50</v>
      </c>
      <c r="U32" s="1032">
        <v>150</v>
      </c>
      <c r="V32" s="1032">
        <v>100</v>
      </c>
      <c r="W32" s="1032">
        <v>100</v>
      </c>
      <c r="X32" s="1032">
        <v>100</v>
      </c>
      <c r="Y32" s="1032">
        <v>100</v>
      </c>
      <c r="Z32" s="1032">
        <v>99</v>
      </c>
      <c r="AA32" s="1032">
        <v>4</v>
      </c>
      <c r="AB32" s="1032">
        <v>19</v>
      </c>
      <c r="AC32" s="1032">
        <v>25</v>
      </c>
      <c r="AD32" s="1032">
        <v>25</v>
      </c>
      <c r="AE32" s="1032">
        <v>22</v>
      </c>
      <c r="AF32" s="1032">
        <v>11</v>
      </c>
      <c r="AG32" s="1906">
        <v>111.46099999999998</v>
      </c>
      <c r="AH32" s="1027">
        <f t="shared" si="7"/>
        <v>3453.4609999999998</v>
      </c>
      <c r="AI32" s="959"/>
      <c r="AJ32" s="1727">
        <f t="shared" si="8"/>
        <v>9669.7630000000008</v>
      </c>
      <c r="AK32" s="1727">
        <f t="shared" si="9"/>
        <v>9768.3645466666676</v>
      </c>
      <c r="AL32" s="1033">
        <v>190.39166666666665</v>
      </c>
      <c r="AM32" s="1030">
        <f t="shared" si="10"/>
        <v>9958.756213333334</v>
      </c>
      <c r="AN32" s="959"/>
      <c r="AO32" s="1030">
        <f t="shared" si="11"/>
        <v>13412.217213333333</v>
      </c>
      <c r="AP32" s="959"/>
      <c r="AQ32" s="959"/>
    </row>
    <row r="33" spans="1:43" ht="15.75">
      <c r="A33" s="959"/>
      <c r="B33" s="967" t="s">
        <v>796</v>
      </c>
      <c r="C33" s="1031">
        <v>3230</v>
      </c>
      <c r="D33" s="1032">
        <v>48</v>
      </c>
      <c r="E33" s="1032">
        <v>30</v>
      </c>
      <c r="F33" s="1032">
        <v>56</v>
      </c>
      <c r="G33" s="1032">
        <v>50</v>
      </c>
      <c r="H33" s="1032">
        <v>13</v>
      </c>
      <c r="I33" s="1032">
        <v>10</v>
      </c>
      <c r="J33" s="1032">
        <v>0</v>
      </c>
      <c r="K33" s="1032">
        <v>5</v>
      </c>
      <c r="L33" s="1032">
        <v>10</v>
      </c>
      <c r="M33" s="1032">
        <v>0</v>
      </c>
      <c r="N33" s="1032">
        <v>80</v>
      </c>
      <c r="O33" s="1032">
        <v>0</v>
      </c>
      <c r="P33" s="1032">
        <v>0</v>
      </c>
      <c r="Q33" s="1032">
        <v>0</v>
      </c>
      <c r="R33" s="1032">
        <v>0</v>
      </c>
      <c r="S33" s="1032">
        <v>0</v>
      </c>
      <c r="T33" s="1032">
        <v>0</v>
      </c>
      <c r="U33" s="1032">
        <v>0</v>
      </c>
      <c r="V33" s="1032">
        <v>0</v>
      </c>
      <c r="W33" s="1032">
        <v>0</v>
      </c>
      <c r="X33" s="1032">
        <v>100</v>
      </c>
      <c r="Y33" s="1032">
        <v>100</v>
      </c>
      <c r="Z33" s="1032">
        <v>99</v>
      </c>
      <c r="AA33" s="1032">
        <v>4</v>
      </c>
      <c r="AB33" s="1032">
        <v>19</v>
      </c>
      <c r="AC33" s="1032">
        <v>25</v>
      </c>
      <c r="AD33" s="1032">
        <v>25</v>
      </c>
      <c r="AE33" s="1032">
        <v>22</v>
      </c>
      <c r="AF33" s="1032">
        <v>11</v>
      </c>
      <c r="AG33" s="1906">
        <v>158.541</v>
      </c>
      <c r="AH33" s="1027">
        <f t="shared" si="7"/>
        <v>4095.5410000000002</v>
      </c>
      <c r="AI33" s="959"/>
      <c r="AJ33" s="1727">
        <f t="shared" si="8"/>
        <v>9005.2160000000003</v>
      </c>
      <c r="AK33" s="1727">
        <f t="shared" si="9"/>
        <v>9097.167316666666</v>
      </c>
      <c r="AL33" s="1033">
        <v>189.91566666666668</v>
      </c>
      <c r="AM33" s="1030">
        <f t="shared" si="10"/>
        <v>9287.0829833333319</v>
      </c>
      <c r="AN33" s="959"/>
      <c r="AO33" s="1030">
        <f t="shared" si="11"/>
        <v>13382.623983333331</v>
      </c>
      <c r="AP33" s="959"/>
      <c r="AQ33" s="959"/>
    </row>
    <row r="34" spans="1:43" ht="15.75">
      <c r="A34" s="959"/>
      <c r="B34" s="967" t="s">
        <v>797</v>
      </c>
      <c r="C34" s="1031">
        <v>3230</v>
      </c>
      <c r="D34" s="1032">
        <v>48</v>
      </c>
      <c r="E34" s="1032">
        <v>30</v>
      </c>
      <c r="F34" s="1032">
        <v>56</v>
      </c>
      <c r="G34" s="1032">
        <v>50</v>
      </c>
      <c r="H34" s="1032">
        <v>13</v>
      </c>
      <c r="I34" s="1032">
        <v>10</v>
      </c>
      <c r="J34" s="1032">
        <v>0</v>
      </c>
      <c r="K34" s="1032">
        <v>5</v>
      </c>
      <c r="L34" s="1032">
        <v>10</v>
      </c>
      <c r="M34" s="1032">
        <v>0</v>
      </c>
      <c r="N34" s="1032">
        <v>80</v>
      </c>
      <c r="O34" s="1032">
        <v>0</v>
      </c>
      <c r="P34" s="1032">
        <v>0</v>
      </c>
      <c r="Q34" s="1032">
        <v>0</v>
      </c>
      <c r="R34" s="1032">
        <v>0</v>
      </c>
      <c r="S34" s="1032">
        <v>0</v>
      </c>
      <c r="T34" s="1032">
        <v>0</v>
      </c>
      <c r="U34" s="1032">
        <v>0</v>
      </c>
      <c r="V34" s="1032">
        <v>0</v>
      </c>
      <c r="W34" s="1032">
        <v>0</v>
      </c>
      <c r="X34" s="1032">
        <v>100</v>
      </c>
      <c r="Y34" s="1032">
        <v>100</v>
      </c>
      <c r="Z34" s="1032">
        <v>99</v>
      </c>
      <c r="AA34" s="1032">
        <v>4</v>
      </c>
      <c r="AB34" s="1032">
        <v>19</v>
      </c>
      <c r="AC34" s="1032">
        <v>25</v>
      </c>
      <c r="AD34" s="1032">
        <v>25</v>
      </c>
      <c r="AE34" s="1032">
        <v>22</v>
      </c>
      <c r="AF34" s="1032">
        <v>11</v>
      </c>
      <c r="AG34" s="1906">
        <v>158.541</v>
      </c>
      <c r="AH34" s="1027">
        <f t="shared" si="7"/>
        <v>4095.5410000000002</v>
      </c>
      <c r="AI34" s="959"/>
      <c r="AJ34" s="1727">
        <f t="shared" si="8"/>
        <v>9385.7019999999993</v>
      </c>
      <c r="AK34" s="1727">
        <f t="shared" si="9"/>
        <v>9481.2071599999981</v>
      </c>
      <c r="AL34" s="1033">
        <v>164.81399999999999</v>
      </c>
      <c r="AM34" s="1030">
        <f t="shared" si="10"/>
        <v>9646.0211599999984</v>
      </c>
      <c r="AN34" s="959"/>
      <c r="AO34" s="1030">
        <f t="shared" si="11"/>
        <v>13741.562159999998</v>
      </c>
      <c r="AP34" s="959"/>
      <c r="AQ34" s="959"/>
    </row>
    <row r="35" spans="1:43" ht="15.75">
      <c r="A35" s="959"/>
      <c r="B35" s="967" t="s">
        <v>980</v>
      </c>
      <c r="C35" s="1031">
        <v>3325</v>
      </c>
      <c r="D35" s="1032">
        <v>48</v>
      </c>
      <c r="E35" s="1032">
        <v>30</v>
      </c>
      <c r="F35" s="1032">
        <v>56</v>
      </c>
      <c r="G35" s="1032">
        <v>50</v>
      </c>
      <c r="H35" s="1032">
        <v>13</v>
      </c>
      <c r="I35" s="1032">
        <v>10</v>
      </c>
      <c r="J35" s="1032">
        <v>0</v>
      </c>
      <c r="K35" s="1032">
        <v>5</v>
      </c>
      <c r="L35" s="1032">
        <v>10</v>
      </c>
      <c r="M35" s="1032">
        <v>50</v>
      </c>
      <c r="N35" s="1032">
        <v>80</v>
      </c>
      <c r="O35" s="1032">
        <v>0</v>
      </c>
      <c r="P35" s="1032">
        <v>0</v>
      </c>
      <c r="Q35" s="1032">
        <v>0</v>
      </c>
      <c r="R35" s="1032">
        <v>0</v>
      </c>
      <c r="S35" s="1032">
        <v>0</v>
      </c>
      <c r="T35" s="1032">
        <v>0</v>
      </c>
      <c r="U35" s="1032">
        <v>0</v>
      </c>
      <c r="V35" s="1032">
        <v>0</v>
      </c>
      <c r="W35" s="1032">
        <v>0</v>
      </c>
      <c r="X35" s="1032">
        <v>100</v>
      </c>
      <c r="Y35" s="1032">
        <v>100</v>
      </c>
      <c r="Z35" s="1032">
        <v>80</v>
      </c>
      <c r="AA35" s="1032">
        <v>4</v>
      </c>
      <c r="AB35" s="1032">
        <v>19</v>
      </c>
      <c r="AC35" s="1032">
        <v>25</v>
      </c>
      <c r="AD35" s="1032">
        <v>25</v>
      </c>
      <c r="AE35" s="1032">
        <v>22</v>
      </c>
      <c r="AF35" s="1032">
        <v>11</v>
      </c>
      <c r="AG35" s="1906">
        <v>163.964</v>
      </c>
      <c r="AH35" s="1027">
        <f t="shared" si="7"/>
        <v>4226.9639999999999</v>
      </c>
      <c r="AI35" s="959"/>
      <c r="AJ35" s="1727">
        <f t="shared" si="8"/>
        <v>11853.914000000001</v>
      </c>
      <c r="AK35" s="1727">
        <f t="shared" si="9"/>
        <v>11974.213166666668</v>
      </c>
      <c r="AL35" s="1033">
        <v>176.00266666666667</v>
      </c>
      <c r="AM35" s="1030">
        <f t="shared" si="10"/>
        <v>12150.215833333335</v>
      </c>
      <c r="AN35" s="959"/>
      <c r="AO35" s="1030">
        <f t="shared" si="11"/>
        <v>16377.179833333335</v>
      </c>
      <c r="AP35" s="959"/>
      <c r="AQ35" s="959"/>
    </row>
    <row r="36" spans="1:43" ht="15.75">
      <c r="A36" s="959"/>
      <c r="B36" s="967" t="s">
        <v>1131</v>
      </c>
      <c r="C36" s="1031">
        <v>3825</v>
      </c>
      <c r="D36" s="1032">
        <v>48</v>
      </c>
      <c r="E36" s="1032">
        <v>30</v>
      </c>
      <c r="F36" s="1032">
        <v>56</v>
      </c>
      <c r="G36" s="1032">
        <v>50</v>
      </c>
      <c r="H36" s="1032">
        <v>13</v>
      </c>
      <c r="I36" s="1032">
        <v>10</v>
      </c>
      <c r="J36" s="1032">
        <v>0</v>
      </c>
      <c r="K36" s="1032">
        <v>1</v>
      </c>
      <c r="L36" s="1032">
        <v>10</v>
      </c>
      <c r="M36" s="1032">
        <v>50</v>
      </c>
      <c r="N36" s="1032">
        <v>80</v>
      </c>
      <c r="O36" s="1032">
        <v>0</v>
      </c>
      <c r="P36" s="1032">
        <v>0</v>
      </c>
      <c r="Q36" s="1032">
        <v>0</v>
      </c>
      <c r="R36" s="1032">
        <v>0</v>
      </c>
      <c r="S36" s="1032">
        <v>0</v>
      </c>
      <c r="T36" s="1032">
        <v>0</v>
      </c>
      <c r="U36" s="1032">
        <v>0</v>
      </c>
      <c r="V36" s="1032">
        <v>0</v>
      </c>
      <c r="W36" s="1032">
        <v>0</v>
      </c>
      <c r="X36" s="1032">
        <v>100</v>
      </c>
      <c r="Y36" s="1032">
        <v>100</v>
      </c>
      <c r="Z36" s="1032">
        <v>80</v>
      </c>
      <c r="AA36" s="1032">
        <v>4</v>
      </c>
      <c r="AB36" s="1032">
        <v>19</v>
      </c>
      <c r="AC36" s="1032">
        <v>25</v>
      </c>
      <c r="AD36" s="1032">
        <v>25</v>
      </c>
      <c r="AE36" s="1032">
        <v>22</v>
      </c>
      <c r="AF36" s="1032">
        <v>11</v>
      </c>
      <c r="AG36" s="1906">
        <v>163.792</v>
      </c>
      <c r="AH36" s="1027">
        <f t="shared" si="7"/>
        <v>4722.7920000000004</v>
      </c>
      <c r="AI36" s="959"/>
      <c r="AJ36" s="1727">
        <f t="shared" si="8"/>
        <v>12964.934999999999</v>
      </c>
      <c r="AK36" s="1727">
        <f t="shared" si="9"/>
        <v>13095.810546666666</v>
      </c>
      <c r="AL36" s="1033">
        <v>122.61966666666666</v>
      </c>
      <c r="AM36" s="1030">
        <f t="shared" si="10"/>
        <v>13218.430213333333</v>
      </c>
      <c r="AN36" s="959"/>
      <c r="AO36" s="1030">
        <f t="shared" si="11"/>
        <v>17941.222213333334</v>
      </c>
      <c r="AP36" s="959"/>
      <c r="AQ36" s="959"/>
    </row>
    <row r="37" spans="1:43" ht="15.75">
      <c r="A37" s="959"/>
      <c r="B37" s="967" t="s">
        <v>982</v>
      </c>
      <c r="C37" s="1031">
        <v>3825</v>
      </c>
      <c r="D37" s="1032">
        <v>48</v>
      </c>
      <c r="E37" s="1032">
        <v>30</v>
      </c>
      <c r="F37" s="1032">
        <v>56</v>
      </c>
      <c r="G37" s="1032">
        <v>50</v>
      </c>
      <c r="H37" s="1032">
        <v>13</v>
      </c>
      <c r="I37" s="1032">
        <v>10</v>
      </c>
      <c r="J37" s="1032">
        <v>0</v>
      </c>
      <c r="K37" s="1032">
        <v>1</v>
      </c>
      <c r="L37" s="1032">
        <v>10</v>
      </c>
      <c r="M37" s="1032">
        <v>50</v>
      </c>
      <c r="N37" s="1032">
        <v>80</v>
      </c>
      <c r="O37" s="1032">
        <v>0</v>
      </c>
      <c r="P37" s="1032">
        <v>0</v>
      </c>
      <c r="Q37" s="1032">
        <v>0</v>
      </c>
      <c r="R37" s="1032">
        <v>0</v>
      </c>
      <c r="S37" s="1032">
        <v>0</v>
      </c>
      <c r="T37" s="1032">
        <v>0</v>
      </c>
      <c r="U37" s="1032">
        <v>0</v>
      </c>
      <c r="V37" s="1032">
        <v>0</v>
      </c>
      <c r="W37" s="1032">
        <v>0</v>
      </c>
      <c r="X37" s="1032">
        <v>100</v>
      </c>
      <c r="Y37" s="1032">
        <v>100</v>
      </c>
      <c r="Z37" s="1032">
        <v>80</v>
      </c>
      <c r="AA37" s="1032">
        <v>4</v>
      </c>
      <c r="AB37" s="1032">
        <v>19</v>
      </c>
      <c r="AC37" s="1032">
        <v>25</v>
      </c>
      <c r="AD37" s="1032">
        <v>25</v>
      </c>
      <c r="AE37" s="1032">
        <v>22</v>
      </c>
      <c r="AF37" s="1032">
        <v>11</v>
      </c>
      <c r="AG37" s="1906">
        <v>163.792</v>
      </c>
      <c r="AH37" s="1027">
        <f t="shared" si="7"/>
        <v>4722.7920000000004</v>
      </c>
      <c r="AI37" s="959"/>
      <c r="AJ37" s="1727">
        <f t="shared" si="8"/>
        <v>12786.512999999999</v>
      </c>
      <c r="AK37" s="1727">
        <f t="shared" si="9"/>
        <v>12915.937603333332</v>
      </c>
      <c r="AL37" s="1033">
        <v>155.94733333333332</v>
      </c>
      <c r="AM37" s="1030">
        <f t="shared" si="10"/>
        <v>13071.884936666665</v>
      </c>
      <c r="AN37" s="959"/>
      <c r="AO37" s="1030">
        <f t="shared" si="11"/>
        <v>17794.676936666667</v>
      </c>
      <c r="AP37" s="959"/>
      <c r="AQ37" s="959"/>
    </row>
    <row r="38" spans="1:43" ht="15.75">
      <c r="A38" s="959"/>
      <c r="B38" s="967" t="s">
        <v>1132</v>
      </c>
      <c r="C38" s="1031">
        <v>3825</v>
      </c>
      <c r="D38" s="1032">
        <v>48</v>
      </c>
      <c r="E38" s="1032">
        <v>30</v>
      </c>
      <c r="F38" s="1032">
        <v>56</v>
      </c>
      <c r="G38" s="1032">
        <v>50</v>
      </c>
      <c r="H38" s="1032">
        <v>13</v>
      </c>
      <c r="I38" s="1032">
        <v>10</v>
      </c>
      <c r="J38" s="1032">
        <v>0</v>
      </c>
      <c r="K38" s="1032">
        <v>3</v>
      </c>
      <c r="L38" s="1032">
        <v>10</v>
      </c>
      <c r="M38" s="1032">
        <v>50</v>
      </c>
      <c r="N38" s="1032">
        <v>80</v>
      </c>
      <c r="O38" s="1032">
        <v>0</v>
      </c>
      <c r="P38" s="1032">
        <v>0</v>
      </c>
      <c r="Q38" s="1032">
        <v>0</v>
      </c>
      <c r="R38" s="1032">
        <v>0</v>
      </c>
      <c r="S38" s="1032">
        <v>0</v>
      </c>
      <c r="T38" s="1032">
        <v>0</v>
      </c>
      <c r="U38" s="1032">
        <v>0</v>
      </c>
      <c r="V38" s="1032">
        <v>0</v>
      </c>
      <c r="W38" s="1032">
        <v>0</v>
      </c>
      <c r="X38" s="1032">
        <v>100</v>
      </c>
      <c r="Y38" s="1032">
        <v>100</v>
      </c>
      <c r="Z38" s="1032">
        <v>80</v>
      </c>
      <c r="AA38" s="1032">
        <v>4</v>
      </c>
      <c r="AB38" s="1032">
        <v>19</v>
      </c>
      <c r="AC38" s="1032">
        <v>25</v>
      </c>
      <c r="AD38" s="1032">
        <v>25</v>
      </c>
      <c r="AE38" s="1032">
        <v>22</v>
      </c>
      <c r="AF38" s="1032">
        <v>11</v>
      </c>
      <c r="AG38" s="1906">
        <v>163.87799999999999</v>
      </c>
      <c r="AH38" s="1027">
        <f t="shared" si="7"/>
        <v>4724.8779999999997</v>
      </c>
      <c r="AI38" s="959"/>
      <c r="AJ38" s="1727">
        <f t="shared" si="8"/>
        <v>11438.958000000001</v>
      </c>
      <c r="AK38" s="1727">
        <f t="shared" si="9"/>
        <v>11554.927223333334</v>
      </c>
      <c r="AL38" s="1033">
        <v>157.96433333333334</v>
      </c>
      <c r="AM38" s="1030">
        <f t="shared" si="10"/>
        <v>11712.891556666667</v>
      </c>
      <c r="AN38" s="959"/>
      <c r="AO38" s="1030">
        <f t="shared" si="11"/>
        <v>16437.769556666666</v>
      </c>
      <c r="AP38" s="959"/>
      <c r="AQ38" s="959"/>
    </row>
    <row r="39" spans="1:43" ht="15.75">
      <c r="A39" s="959"/>
      <c r="B39" s="967" t="s">
        <v>984</v>
      </c>
      <c r="C39" s="1031">
        <v>3825</v>
      </c>
      <c r="D39" s="1032">
        <v>48</v>
      </c>
      <c r="E39" s="1032">
        <v>30</v>
      </c>
      <c r="F39" s="1032">
        <v>56</v>
      </c>
      <c r="G39" s="1032">
        <v>50</v>
      </c>
      <c r="H39" s="1032">
        <v>13</v>
      </c>
      <c r="I39" s="1032">
        <v>10</v>
      </c>
      <c r="J39" s="1032">
        <v>0</v>
      </c>
      <c r="K39" s="1032">
        <v>5.0004786979415989</v>
      </c>
      <c r="L39" s="1032">
        <v>10</v>
      </c>
      <c r="M39" s="1032">
        <v>50</v>
      </c>
      <c r="N39" s="1032">
        <v>80</v>
      </c>
      <c r="O39" s="1032">
        <v>50</v>
      </c>
      <c r="P39" s="1032">
        <v>0</v>
      </c>
      <c r="Q39" s="1032">
        <v>0</v>
      </c>
      <c r="R39" s="1032">
        <v>0</v>
      </c>
      <c r="S39" s="1032">
        <v>0</v>
      </c>
      <c r="T39" s="1032">
        <v>0</v>
      </c>
      <c r="U39" s="1032">
        <v>0</v>
      </c>
      <c r="V39" s="1032">
        <v>0</v>
      </c>
      <c r="W39" s="1032">
        <v>0</v>
      </c>
      <c r="X39" s="1032">
        <v>100</v>
      </c>
      <c r="Y39" s="1032">
        <v>100</v>
      </c>
      <c r="Z39" s="1032">
        <v>80</v>
      </c>
      <c r="AA39" s="1032">
        <v>4</v>
      </c>
      <c r="AB39" s="1032">
        <v>19</v>
      </c>
      <c r="AC39" s="1032">
        <v>25</v>
      </c>
      <c r="AD39" s="1032">
        <v>25</v>
      </c>
      <c r="AE39" s="1032">
        <v>22</v>
      </c>
      <c r="AF39" s="1032">
        <v>11</v>
      </c>
      <c r="AG39" s="1906">
        <v>166.11402058401148</v>
      </c>
      <c r="AH39" s="1027">
        <f t="shared" si="7"/>
        <v>4779.1144992819527</v>
      </c>
      <c r="AI39" s="959"/>
      <c r="AJ39" s="1727">
        <f t="shared" si="8"/>
        <v>9104.3349999999991</v>
      </c>
      <c r="AK39" s="1727">
        <f t="shared" si="9"/>
        <v>9196.8552133333324</v>
      </c>
      <c r="AL39" s="1033">
        <v>147.68633333333335</v>
      </c>
      <c r="AM39" s="1030">
        <f t="shared" si="10"/>
        <v>9344.5415466666655</v>
      </c>
      <c r="AN39" s="959"/>
      <c r="AO39" s="1030">
        <f t="shared" si="11"/>
        <v>14123.656045948617</v>
      </c>
      <c r="AP39" s="959"/>
      <c r="AQ39" s="959"/>
    </row>
    <row r="40" spans="1:43" ht="15.75">
      <c r="A40" s="959"/>
      <c r="B40" s="967" t="s">
        <v>985</v>
      </c>
      <c r="C40" s="1031">
        <v>3727</v>
      </c>
      <c r="D40" s="1032">
        <v>48</v>
      </c>
      <c r="E40" s="1032">
        <v>30</v>
      </c>
      <c r="F40" s="1032">
        <v>56</v>
      </c>
      <c r="G40" s="1032">
        <v>50</v>
      </c>
      <c r="H40" s="1032">
        <v>13</v>
      </c>
      <c r="I40" s="1032">
        <v>10</v>
      </c>
      <c r="J40" s="1032">
        <v>0</v>
      </c>
      <c r="K40" s="1032">
        <v>5</v>
      </c>
      <c r="L40" s="1032">
        <v>10</v>
      </c>
      <c r="M40" s="1032">
        <v>0</v>
      </c>
      <c r="N40" s="1032">
        <v>80</v>
      </c>
      <c r="O40" s="1032">
        <v>50</v>
      </c>
      <c r="P40" s="1032">
        <v>0</v>
      </c>
      <c r="Q40" s="1032">
        <v>0</v>
      </c>
      <c r="R40" s="1032">
        <v>0</v>
      </c>
      <c r="S40" s="1032">
        <v>0</v>
      </c>
      <c r="T40" s="1032">
        <v>0</v>
      </c>
      <c r="U40" s="1032">
        <v>0</v>
      </c>
      <c r="V40" s="1032">
        <v>0</v>
      </c>
      <c r="W40" s="1032">
        <v>0</v>
      </c>
      <c r="X40" s="1032">
        <v>100</v>
      </c>
      <c r="Y40" s="1032">
        <v>100</v>
      </c>
      <c r="Z40" s="1032">
        <v>99</v>
      </c>
      <c r="AA40" s="1032">
        <v>4</v>
      </c>
      <c r="AB40" s="1032">
        <v>19</v>
      </c>
      <c r="AC40" s="1032">
        <v>25</v>
      </c>
      <c r="AD40" s="1032">
        <v>25</v>
      </c>
      <c r="AE40" s="1032">
        <v>22</v>
      </c>
      <c r="AF40" s="1032">
        <v>11</v>
      </c>
      <c r="AG40" s="1906">
        <v>160.56099999999998</v>
      </c>
      <c r="AH40" s="1027">
        <f t="shared" si="7"/>
        <v>4644.5609999999997</v>
      </c>
      <c r="AI40" s="959"/>
      <c r="AJ40" s="1727">
        <f t="shared" si="8"/>
        <v>9802.848</v>
      </c>
      <c r="AK40" s="1727">
        <f t="shared" si="9"/>
        <v>9902.8655900000012</v>
      </c>
      <c r="AL40" s="1033">
        <v>198.91099999999997</v>
      </c>
      <c r="AM40" s="1030">
        <f t="shared" si="10"/>
        <v>10101.776590000001</v>
      </c>
      <c r="AN40" s="959"/>
      <c r="AO40" s="1030">
        <f t="shared" si="11"/>
        <v>14746.337590000001</v>
      </c>
      <c r="AP40" s="959"/>
      <c r="AQ40" s="959"/>
    </row>
    <row r="41" spans="1:43" ht="16.5" thickBot="1">
      <c r="A41" s="959"/>
      <c r="B41" s="967" t="s">
        <v>986</v>
      </c>
      <c r="C41" s="1035">
        <v>3727</v>
      </c>
      <c r="D41" s="1036">
        <v>48</v>
      </c>
      <c r="E41" s="1036">
        <v>30</v>
      </c>
      <c r="F41" s="1036">
        <v>56</v>
      </c>
      <c r="G41" s="1036">
        <v>50</v>
      </c>
      <c r="H41" s="1036">
        <v>13</v>
      </c>
      <c r="I41" s="1036">
        <v>10</v>
      </c>
      <c r="J41" s="1036">
        <v>0</v>
      </c>
      <c r="K41" s="1036">
        <v>5</v>
      </c>
      <c r="L41" s="1036">
        <v>10</v>
      </c>
      <c r="M41" s="1036">
        <v>0</v>
      </c>
      <c r="N41" s="1036">
        <v>80</v>
      </c>
      <c r="O41" s="1036">
        <v>50</v>
      </c>
      <c r="P41" s="1036">
        <v>0</v>
      </c>
      <c r="Q41" s="1036">
        <v>0</v>
      </c>
      <c r="R41" s="1036">
        <v>0</v>
      </c>
      <c r="S41" s="1036">
        <v>0</v>
      </c>
      <c r="T41" s="1036">
        <v>0</v>
      </c>
      <c r="U41" s="1036">
        <v>0</v>
      </c>
      <c r="V41" s="1036">
        <v>0</v>
      </c>
      <c r="W41" s="1036">
        <v>0</v>
      </c>
      <c r="X41" s="1036">
        <v>100</v>
      </c>
      <c r="Y41" s="1036">
        <v>100</v>
      </c>
      <c r="Z41" s="1036">
        <v>99</v>
      </c>
      <c r="AA41" s="1036">
        <v>4</v>
      </c>
      <c r="AB41" s="1036">
        <v>19</v>
      </c>
      <c r="AC41" s="1036">
        <v>25</v>
      </c>
      <c r="AD41" s="1036">
        <v>25</v>
      </c>
      <c r="AE41" s="1036">
        <v>22</v>
      </c>
      <c r="AF41" s="1036">
        <v>11</v>
      </c>
      <c r="AG41" s="1907">
        <v>160.56099999999998</v>
      </c>
      <c r="AH41" s="1027">
        <f t="shared" si="7"/>
        <v>4644.5609999999997</v>
      </c>
      <c r="AI41" s="959"/>
      <c r="AJ41" s="1728">
        <f t="shared" si="8"/>
        <v>10153.608</v>
      </c>
      <c r="AK41" s="1728">
        <f t="shared" si="9"/>
        <v>10256.998083333334</v>
      </c>
      <c r="AL41" s="1037">
        <v>185.40033333333335</v>
      </c>
      <c r="AM41" s="1038">
        <f t="shared" si="10"/>
        <v>10442.398416666667</v>
      </c>
      <c r="AN41" s="959"/>
      <c r="AO41" s="1030">
        <f t="shared" si="11"/>
        <v>15086.959416666667</v>
      </c>
      <c r="AP41" s="959"/>
      <c r="AQ41" s="959"/>
    </row>
    <row r="42" spans="1:43" ht="16.5" thickBot="1">
      <c r="A42" s="959"/>
      <c r="B42" s="983" t="s">
        <v>111</v>
      </c>
      <c r="C42" s="1039">
        <f t="shared" ref="C42:M42" si="12">SUM(C30:C41)</f>
        <v>38104</v>
      </c>
      <c r="D42" s="1040">
        <f t="shared" si="12"/>
        <v>576</v>
      </c>
      <c r="E42" s="1040">
        <f t="shared" si="12"/>
        <v>360</v>
      </c>
      <c r="F42" s="1040">
        <f t="shared" si="12"/>
        <v>672</v>
      </c>
      <c r="G42" s="1040">
        <f t="shared" si="12"/>
        <v>600</v>
      </c>
      <c r="H42" s="1040">
        <f t="shared" si="12"/>
        <v>156</v>
      </c>
      <c r="I42" s="1040">
        <f t="shared" si="12"/>
        <v>120</v>
      </c>
      <c r="J42" s="1040">
        <f t="shared" si="12"/>
        <v>0</v>
      </c>
      <c r="K42" s="1040">
        <f t="shared" si="12"/>
        <v>50.000478697941602</v>
      </c>
      <c r="L42" s="1040">
        <f t="shared" si="12"/>
        <v>100</v>
      </c>
      <c r="M42" s="1040">
        <f t="shared" si="12"/>
        <v>250</v>
      </c>
      <c r="N42" s="1040">
        <f t="shared" ref="N42:Z42" si="13">SUM(N30:N41)</f>
        <v>960</v>
      </c>
      <c r="O42" s="1040">
        <f t="shared" si="13"/>
        <v>150</v>
      </c>
      <c r="P42" s="1040">
        <f t="shared" si="13"/>
        <v>240</v>
      </c>
      <c r="Q42" s="1040">
        <f>SUM(Q30:Q41)</f>
        <v>300</v>
      </c>
      <c r="R42" s="1040">
        <f>SUM(R30:R41)</f>
        <v>300</v>
      </c>
      <c r="S42" s="1040">
        <f>SUM(S30:S41)</f>
        <v>300</v>
      </c>
      <c r="T42" s="1040">
        <f t="shared" si="13"/>
        <v>150</v>
      </c>
      <c r="U42" s="1040">
        <f t="shared" si="13"/>
        <v>450</v>
      </c>
      <c r="V42" s="1040">
        <f t="shared" si="13"/>
        <v>300</v>
      </c>
      <c r="W42" s="1040">
        <f t="shared" si="13"/>
        <v>300</v>
      </c>
      <c r="X42" s="1040">
        <f t="shared" si="13"/>
        <v>1200</v>
      </c>
      <c r="Y42" s="1040">
        <f t="shared" si="13"/>
        <v>1200</v>
      </c>
      <c r="Z42" s="1040">
        <f t="shared" si="13"/>
        <v>1093</v>
      </c>
      <c r="AA42" s="1040">
        <f t="shared" ref="AA42:AB42" si="14">SUM(AA30:AA41)</f>
        <v>48</v>
      </c>
      <c r="AB42" s="1040">
        <f t="shared" si="14"/>
        <v>228</v>
      </c>
      <c r="AC42" s="1040">
        <f t="shared" ref="AC42:AF42" si="15">SUM(AC30:AC41)</f>
        <v>300</v>
      </c>
      <c r="AD42" s="1040">
        <f t="shared" si="15"/>
        <v>300</v>
      </c>
      <c r="AE42" s="1040">
        <f t="shared" si="15"/>
        <v>264</v>
      </c>
      <c r="AF42" s="1040">
        <f t="shared" si="15"/>
        <v>132</v>
      </c>
      <c r="AG42" s="1040">
        <f t="shared" ref="AG42" si="16">SUM(AG30:AG41)</f>
        <v>1793.2670205840113</v>
      </c>
      <c r="AH42" s="1041">
        <f>SUM(AH30:AH41)</f>
        <v>50996.267499281959</v>
      </c>
      <c r="AI42" s="1075"/>
      <c r="AJ42" s="1003">
        <f>SUM(AJ30:AJ41)</f>
        <v>126709.139</v>
      </c>
      <c r="AK42" s="1003">
        <f>SUM(AK30:AK41)</f>
        <v>127996.88640666666</v>
      </c>
      <c r="AL42" s="1003">
        <f>SUM(AL30:AL41)</f>
        <v>2065.6016666666669</v>
      </c>
      <c r="AM42" s="1003">
        <f>SUM(AM30:AM41)</f>
        <v>130062.48807333334</v>
      </c>
      <c r="AN42" s="959"/>
      <c r="AO42" s="1003">
        <f>SUM(AO30:AO41)</f>
        <v>181058.75557261528</v>
      </c>
      <c r="AP42" s="959"/>
      <c r="AQ42" s="959"/>
    </row>
    <row r="43" spans="1:43" ht="16.5" thickBot="1">
      <c r="A43" s="959"/>
      <c r="B43" s="1002" t="s">
        <v>1133</v>
      </c>
      <c r="C43" s="1008">
        <f t="shared" ref="C43:Z43" si="17">+C42/12</f>
        <v>3175.3333333333335</v>
      </c>
      <c r="D43" s="1009">
        <f t="shared" si="17"/>
        <v>48</v>
      </c>
      <c r="E43" s="1009">
        <f t="shared" si="17"/>
        <v>30</v>
      </c>
      <c r="F43" s="1009">
        <f t="shared" si="17"/>
        <v>56</v>
      </c>
      <c r="G43" s="1009">
        <f t="shared" si="17"/>
        <v>50</v>
      </c>
      <c r="H43" s="1009">
        <f t="shared" si="17"/>
        <v>13</v>
      </c>
      <c r="I43" s="1009">
        <f t="shared" si="17"/>
        <v>10</v>
      </c>
      <c r="J43" s="1009">
        <f t="shared" si="17"/>
        <v>0</v>
      </c>
      <c r="K43" s="1009">
        <f t="shared" si="17"/>
        <v>4.1667065581617999</v>
      </c>
      <c r="L43" s="1009">
        <f t="shared" si="17"/>
        <v>8.3333333333333339</v>
      </c>
      <c r="M43" s="1009">
        <f t="shared" si="17"/>
        <v>20.833333333333332</v>
      </c>
      <c r="N43" s="1009">
        <f t="shared" si="17"/>
        <v>80</v>
      </c>
      <c r="O43" s="1009">
        <f t="shared" si="17"/>
        <v>12.5</v>
      </c>
      <c r="P43" s="1009">
        <f t="shared" si="17"/>
        <v>20</v>
      </c>
      <c r="Q43" s="1009">
        <f>+Q42/12</f>
        <v>25</v>
      </c>
      <c r="R43" s="1009">
        <f>+R42/12</f>
        <v>25</v>
      </c>
      <c r="S43" s="1009">
        <f>+S42/12</f>
        <v>25</v>
      </c>
      <c r="T43" s="1009">
        <f t="shared" si="17"/>
        <v>12.5</v>
      </c>
      <c r="U43" s="1009">
        <f t="shared" si="17"/>
        <v>37.5</v>
      </c>
      <c r="V43" s="1009">
        <f t="shared" si="17"/>
        <v>25</v>
      </c>
      <c r="W43" s="1009">
        <f t="shared" si="17"/>
        <v>25</v>
      </c>
      <c r="X43" s="1009">
        <f t="shared" si="17"/>
        <v>100</v>
      </c>
      <c r="Y43" s="1009">
        <f t="shared" si="17"/>
        <v>100</v>
      </c>
      <c r="Z43" s="1009">
        <f t="shared" si="17"/>
        <v>91.083333333333329</v>
      </c>
      <c r="AA43" s="1009">
        <f t="shared" ref="AA43:AB43" si="18">+AA42/12</f>
        <v>4</v>
      </c>
      <c r="AB43" s="1009">
        <f t="shared" si="18"/>
        <v>19</v>
      </c>
      <c r="AC43" s="1009">
        <f t="shared" ref="AC43:AF43" si="19">+AC42/12</f>
        <v>25</v>
      </c>
      <c r="AD43" s="1009">
        <f t="shared" si="19"/>
        <v>25</v>
      </c>
      <c r="AE43" s="1009">
        <f t="shared" si="19"/>
        <v>22</v>
      </c>
      <c r="AF43" s="1009">
        <f t="shared" si="19"/>
        <v>11</v>
      </c>
      <c r="AG43" s="1009">
        <f t="shared" ref="AG43" si="20">+AG42/12</f>
        <v>149.43891838200094</v>
      </c>
      <c r="AH43" s="1042">
        <f>+AH42/12</f>
        <v>4249.6889582734966</v>
      </c>
      <c r="AI43" s="1027"/>
      <c r="AJ43" s="1041">
        <f>+AJ42/12</f>
        <v>10559.094916666667</v>
      </c>
      <c r="AK43" s="1041">
        <f>+AK42/12</f>
        <v>10666.407200555555</v>
      </c>
      <c r="AL43" s="1041">
        <f>+AL42/12</f>
        <v>172.13347222222225</v>
      </c>
      <c r="AM43" s="1007">
        <f>+AM42/12</f>
        <v>10838.540672777779</v>
      </c>
      <c r="AN43" s="959"/>
      <c r="AO43" s="1007">
        <f>+AO42/12</f>
        <v>15088.229631051274</v>
      </c>
      <c r="AP43" s="959"/>
      <c r="AQ43" s="959"/>
    </row>
    <row r="44" spans="1:43" ht="15.75">
      <c r="A44" s="959"/>
      <c r="B44" s="959"/>
      <c r="C44" s="959"/>
      <c r="D44" s="959"/>
      <c r="E44" s="959"/>
      <c r="F44" s="959"/>
      <c r="G44" s="959"/>
      <c r="H44" s="959"/>
      <c r="I44" s="959"/>
      <c r="J44" s="959"/>
      <c r="K44" s="959"/>
      <c r="L44" s="959"/>
      <c r="M44" s="959"/>
      <c r="N44" s="959"/>
      <c r="O44" s="959"/>
      <c r="P44" s="959"/>
      <c r="Q44" s="959"/>
      <c r="R44" s="959"/>
      <c r="S44" s="959"/>
      <c r="T44" s="959"/>
      <c r="U44" s="959"/>
      <c r="V44" s="959"/>
      <c r="W44" s="959"/>
      <c r="X44" s="959"/>
      <c r="Y44" s="959"/>
      <c r="Z44" s="959"/>
      <c r="AA44" s="959"/>
      <c r="AB44" s="959"/>
      <c r="AC44" s="959"/>
      <c r="AD44" s="959"/>
      <c r="AE44" s="959"/>
      <c r="AF44" s="959"/>
      <c r="AG44" s="959"/>
      <c r="AH44" s="959"/>
      <c r="AI44" s="959"/>
    </row>
    <row r="45" spans="1:43" ht="15.75">
      <c r="A45" s="959"/>
      <c r="B45" s="959"/>
      <c r="C45" s="1006"/>
      <c r="D45" s="1006"/>
      <c r="E45" s="1006"/>
      <c r="F45" s="1006"/>
      <c r="G45" s="1006"/>
      <c r="H45" s="1006"/>
      <c r="I45" s="1006"/>
      <c r="J45" s="1006"/>
      <c r="K45" s="1006"/>
      <c r="L45" s="1006"/>
      <c r="M45" s="1006"/>
      <c r="N45" s="1006"/>
      <c r="O45" s="1006"/>
      <c r="P45" s="1006"/>
      <c r="Q45" s="1006"/>
      <c r="R45" s="1006"/>
      <c r="S45" s="1006"/>
      <c r="T45" s="1006"/>
      <c r="U45" s="1006"/>
      <c r="V45" s="1006"/>
      <c r="W45" s="1006"/>
      <c r="X45" s="1006"/>
      <c r="Y45" s="1006"/>
      <c r="Z45" s="1006"/>
      <c r="AA45" s="1006"/>
      <c r="AB45" s="1006"/>
      <c r="AC45" s="959"/>
      <c r="AD45" s="959"/>
      <c r="AE45" s="959"/>
      <c r="AF45" s="959"/>
      <c r="AG45" s="959"/>
      <c r="AH45" s="959"/>
      <c r="AI45" s="959"/>
      <c r="AJ45" s="959"/>
    </row>
    <row r="46" spans="1:43" ht="15.75">
      <c r="A46" s="959"/>
      <c r="B46" s="959"/>
      <c r="C46" s="959"/>
      <c r="D46" s="959"/>
      <c r="E46" s="959"/>
      <c r="F46" s="959"/>
      <c r="G46" s="959"/>
      <c r="H46" s="959"/>
      <c r="I46" s="959"/>
      <c r="J46" s="959"/>
      <c r="K46" s="959"/>
      <c r="L46" s="959"/>
      <c r="M46" s="959"/>
      <c r="N46" s="959"/>
      <c r="O46" s="959"/>
      <c r="P46" s="1043"/>
      <c r="Q46" s="959"/>
      <c r="R46" s="959"/>
      <c r="S46" s="959"/>
      <c r="T46" s="959"/>
      <c r="U46" s="959"/>
      <c r="V46" s="959"/>
      <c r="W46" s="959"/>
      <c r="X46" s="959"/>
      <c r="Y46" s="959"/>
      <c r="Z46" s="959"/>
      <c r="AA46" s="959"/>
      <c r="AB46" s="959"/>
      <c r="AC46" s="959"/>
      <c r="AD46" s="959"/>
      <c r="AE46" s="959"/>
      <c r="AF46" s="959"/>
      <c r="AG46" s="959"/>
      <c r="AH46" s="959"/>
      <c r="AI46" s="959"/>
      <c r="AJ46" s="1494"/>
    </row>
    <row r="47" spans="1:43" ht="15.75">
      <c r="A47" s="959"/>
      <c r="B47" s="959"/>
      <c r="C47" s="959"/>
      <c r="D47" s="959"/>
      <c r="E47" s="959"/>
      <c r="F47" s="959"/>
      <c r="G47" s="959"/>
      <c r="H47" s="959"/>
      <c r="I47" s="959"/>
      <c r="J47" s="959"/>
      <c r="K47" s="959"/>
      <c r="L47" s="959"/>
      <c r="M47" s="959"/>
      <c r="N47" s="959"/>
      <c r="O47" s="959"/>
      <c r="P47" s="959"/>
      <c r="Q47" s="959"/>
      <c r="R47" s="959"/>
      <c r="S47" s="959"/>
      <c r="T47" s="959"/>
      <c r="U47" s="959"/>
      <c r="V47" s="959"/>
      <c r="W47" s="959"/>
      <c r="X47" s="959"/>
      <c r="Y47" s="959"/>
      <c r="Z47" s="959"/>
      <c r="AA47" s="959"/>
      <c r="AB47" s="959"/>
      <c r="AC47" s="959"/>
      <c r="AD47" s="959"/>
      <c r="AE47" s="959"/>
      <c r="AF47" s="959"/>
      <c r="AG47" s="959"/>
      <c r="AH47" s="959"/>
      <c r="AI47" s="959"/>
    </row>
    <row r="48" spans="1:43" ht="15.75">
      <c r="A48" s="959"/>
      <c r="B48" s="959"/>
      <c r="C48" s="959"/>
      <c r="D48" s="959"/>
      <c r="E48" s="959"/>
      <c r="F48" s="959"/>
      <c r="G48" s="959"/>
      <c r="H48" s="959"/>
      <c r="I48" s="959"/>
      <c r="J48" s="959"/>
      <c r="K48" s="959"/>
      <c r="L48" s="959"/>
      <c r="M48" s="959"/>
      <c r="N48" s="959"/>
      <c r="O48" s="959"/>
      <c r="P48" s="1006"/>
      <c r="Q48" s="959"/>
      <c r="R48" s="959"/>
      <c r="S48" s="959"/>
      <c r="T48" s="959"/>
      <c r="U48" s="959"/>
      <c r="V48" s="959"/>
      <c r="W48" s="959"/>
      <c r="X48" s="959"/>
      <c r="Y48" s="959"/>
      <c r="Z48" s="959"/>
      <c r="AA48" s="959"/>
      <c r="AB48" s="959"/>
      <c r="AC48" s="959"/>
      <c r="AD48" s="959"/>
      <c r="AE48" s="959"/>
      <c r="AF48" s="959"/>
      <c r="AG48" s="959"/>
      <c r="AH48" s="959"/>
      <c r="AI48" s="959"/>
    </row>
    <row r="49" spans="1:35" ht="15.75">
      <c r="A49" s="959"/>
      <c r="B49" s="959"/>
      <c r="C49" s="959"/>
      <c r="D49" s="959"/>
      <c r="E49" s="959"/>
      <c r="F49" s="959"/>
      <c r="G49" s="959"/>
      <c r="H49" s="959"/>
      <c r="I49" s="959"/>
      <c r="J49" s="959"/>
      <c r="K49" s="959"/>
      <c r="L49" s="959"/>
      <c r="M49" s="959"/>
      <c r="N49" s="959"/>
      <c r="O49" s="959"/>
      <c r="P49" s="1044"/>
      <c r="Q49" s="959"/>
      <c r="R49" s="959"/>
      <c r="S49" s="959"/>
      <c r="T49" s="959"/>
      <c r="U49" s="959"/>
      <c r="V49" s="959"/>
      <c r="W49" s="959"/>
      <c r="X49" s="959"/>
      <c r="Y49" s="959"/>
      <c r="Z49" s="959"/>
      <c r="AA49" s="959"/>
      <c r="AB49" s="959"/>
      <c r="AC49" s="959"/>
      <c r="AD49" s="959"/>
      <c r="AE49" s="959"/>
      <c r="AF49" s="959"/>
      <c r="AG49" s="959"/>
      <c r="AH49" s="959"/>
      <c r="AI49" s="959"/>
    </row>
    <row r="50" spans="1:35" ht="15.75">
      <c r="A50" s="959"/>
      <c r="B50" s="959"/>
      <c r="C50" s="959"/>
      <c r="D50" s="959"/>
      <c r="E50" s="959"/>
      <c r="F50" s="959"/>
      <c r="G50" s="959"/>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row>
    <row r="51" spans="1:35" ht="15.75">
      <c r="A51" s="959"/>
      <c r="B51" s="959"/>
      <c r="C51" s="959"/>
      <c r="D51" s="959"/>
      <c r="E51" s="959"/>
      <c r="F51" s="959"/>
      <c r="G51" s="959"/>
      <c r="H51" s="959"/>
      <c r="I51" s="959"/>
      <c r="J51" s="959"/>
      <c r="K51" s="959"/>
      <c r="L51" s="959"/>
      <c r="M51" s="959"/>
      <c r="N51" s="959"/>
      <c r="O51" s="959"/>
      <c r="P51" s="959"/>
      <c r="Q51" s="959"/>
      <c r="R51" s="959"/>
      <c r="S51" s="959"/>
      <c r="T51" s="959"/>
      <c r="U51" s="959"/>
      <c r="V51" s="959"/>
      <c r="W51" s="959"/>
      <c r="X51" s="959"/>
      <c r="Y51" s="959"/>
      <c r="Z51" s="959"/>
      <c r="AA51" s="959"/>
      <c r="AB51" s="959"/>
      <c r="AC51" s="959"/>
      <c r="AD51" s="959"/>
      <c r="AE51" s="959"/>
      <c r="AF51" s="959"/>
      <c r="AG51" s="959"/>
      <c r="AH51" s="959"/>
      <c r="AI51" s="959"/>
    </row>
    <row r="52" spans="1:35" ht="15.75">
      <c r="A52" s="959"/>
      <c r="B52" s="959"/>
      <c r="C52" s="959"/>
      <c r="D52" s="959"/>
      <c r="E52" s="959"/>
      <c r="F52" s="959"/>
      <c r="G52" s="959"/>
      <c r="H52" s="959"/>
      <c r="I52" s="959"/>
      <c r="J52" s="959"/>
      <c r="K52" s="959"/>
      <c r="L52" s="959"/>
      <c r="M52" s="959"/>
      <c r="N52" s="959"/>
      <c r="O52" s="959"/>
      <c r="P52" s="959"/>
      <c r="Q52" s="959"/>
      <c r="R52" s="959"/>
      <c r="S52" s="959"/>
      <c r="T52" s="959"/>
      <c r="U52" s="959"/>
      <c r="V52" s="959"/>
      <c r="W52" s="959"/>
      <c r="X52" s="959"/>
      <c r="Y52" s="959"/>
      <c r="Z52" s="959"/>
      <c r="AA52" s="959"/>
      <c r="AB52" s="959"/>
      <c r="AC52" s="959"/>
      <c r="AD52" s="959"/>
      <c r="AE52" s="959"/>
      <c r="AF52" s="959"/>
      <c r="AG52" s="959"/>
      <c r="AH52" s="959"/>
      <c r="AI52" s="959"/>
    </row>
    <row r="53" spans="1:35" ht="15.75">
      <c r="A53" s="959"/>
      <c r="B53" s="959"/>
      <c r="C53" s="959"/>
      <c r="D53" s="959"/>
      <c r="E53" s="959"/>
      <c r="F53" s="959"/>
      <c r="G53" s="959"/>
      <c r="H53" s="959"/>
      <c r="I53" s="959"/>
      <c r="J53" s="959"/>
      <c r="K53" s="959"/>
      <c r="L53" s="959"/>
      <c r="M53" s="959"/>
      <c r="N53" s="959"/>
      <c r="O53" s="959"/>
      <c r="P53" s="959"/>
      <c r="Q53" s="959"/>
      <c r="R53" s="959"/>
      <c r="S53" s="959"/>
      <c r="T53" s="959"/>
      <c r="U53" s="959"/>
      <c r="V53" s="959"/>
      <c r="W53" s="959"/>
      <c r="X53" s="959"/>
      <c r="Y53" s="959"/>
      <c r="Z53" s="959"/>
      <c r="AA53" s="959"/>
      <c r="AB53" s="959"/>
      <c r="AC53" s="959"/>
      <c r="AD53" s="959"/>
      <c r="AE53" s="959"/>
      <c r="AF53" s="959"/>
      <c r="AG53" s="959"/>
      <c r="AH53" s="959"/>
      <c r="AI53" s="959"/>
    </row>
    <row r="54" spans="1:35" ht="15.75">
      <c r="A54" s="959"/>
      <c r="B54" s="959"/>
      <c r="C54" s="959"/>
      <c r="D54" s="959"/>
      <c r="E54" s="959"/>
      <c r="F54" s="959"/>
      <c r="G54" s="959"/>
      <c r="H54" s="959"/>
      <c r="I54" s="959"/>
      <c r="J54" s="959"/>
      <c r="K54" s="959"/>
      <c r="L54" s="959"/>
      <c r="M54" s="959"/>
      <c r="N54" s="959"/>
      <c r="O54" s="959"/>
      <c r="P54" s="959"/>
      <c r="Q54" s="959"/>
      <c r="R54" s="959"/>
      <c r="S54" s="959"/>
      <c r="T54" s="959"/>
      <c r="U54" s="959"/>
      <c r="V54" s="959"/>
      <c r="W54" s="959"/>
      <c r="X54" s="959"/>
      <c r="Y54" s="959"/>
      <c r="Z54" s="959"/>
      <c r="AA54" s="959"/>
      <c r="AB54" s="959"/>
      <c r="AC54" s="959"/>
      <c r="AD54" s="959"/>
      <c r="AE54" s="959"/>
      <c r="AF54" s="959"/>
      <c r="AG54" s="959"/>
      <c r="AH54" s="959"/>
      <c r="AI54" s="959"/>
    </row>
    <row r="55" spans="1:35" ht="15.75">
      <c r="A55" s="959"/>
      <c r="B55" s="959"/>
      <c r="C55" s="959"/>
      <c r="D55" s="959"/>
      <c r="E55" s="959"/>
      <c r="F55" s="959"/>
      <c r="G55" s="959"/>
      <c r="H55" s="959"/>
      <c r="I55" s="959"/>
      <c r="J55" s="959"/>
      <c r="K55" s="959"/>
      <c r="L55" s="959"/>
      <c r="M55" s="959"/>
      <c r="N55" s="959"/>
      <c r="O55" s="959"/>
      <c r="P55" s="959"/>
      <c r="Q55" s="959"/>
      <c r="R55" s="959"/>
      <c r="S55" s="959"/>
      <c r="T55" s="959"/>
      <c r="U55" s="959"/>
      <c r="V55" s="959"/>
      <c r="W55" s="959"/>
      <c r="X55" s="959"/>
      <c r="Y55" s="959"/>
      <c r="Z55" s="959"/>
      <c r="AA55" s="959"/>
      <c r="AB55" s="959"/>
      <c r="AC55" s="959"/>
      <c r="AD55" s="959"/>
      <c r="AE55" s="959"/>
      <c r="AF55" s="959"/>
      <c r="AG55" s="959"/>
      <c r="AH55" s="959"/>
      <c r="AI55" s="959"/>
    </row>
    <row r="56" spans="1:35" ht="15.75">
      <c r="A56" s="959"/>
      <c r="B56" s="959"/>
      <c r="C56" s="959"/>
      <c r="D56" s="959"/>
      <c r="E56" s="959"/>
      <c r="F56" s="959"/>
      <c r="G56" s="959"/>
      <c r="H56" s="959"/>
      <c r="I56" s="959"/>
      <c r="J56" s="959"/>
      <c r="K56" s="959"/>
      <c r="L56" s="959"/>
      <c r="M56" s="959"/>
      <c r="N56" s="959"/>
      <c r="O56" s="959"/>
      <c r="P56" s="959"/>
      <c r="Q56" s="959"/>
      <c r="R56" s="959"/>
      <c r="S56" s="959"/>
      <c r="T56" s="959"/>
      <c r="U56" s="959"/>
      <c r="V56" s="959"/>
      <c r="W56" s="959"/>
      <c r="X56" s="959"/>
      <c r="Y56" s="959"/>
      <c r="Z56" s="959"/>
      <c r="AA56" s="959"/>
      <c r="AB56" s="959"/>
      <c r="AC56" s="959"/>
      <c r="AD56" s="959"/>
      <c r="AE56" s="959"/>
      <c r="AF56" s="959"/>
      <c r="AG56" s="959"/>
      <c r="AH56" s="959"/>
      <c r="AI56" s="959"/>
    </row>
    <row r="57" spans="1:35" ht="15.75">
      <c r="A57" s="959"/>
      <c r="B57" s="959"/>
      <c r="C57" s="959"/>
      <c r="D57" s="959"/>
      <c r="E57" s="959"/>
      <c r="F57" s="959"/>
      <c r="G57" s="959"/>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row>
    <row r="58" spans="1:35" ht="15.75">
      <c r="A58" s="959"/>
      <c r="B58" s="959"/>
      <c r="C58" s="959"/>
      <c r="D58" s="959"/>
      <c r="E58" s="959"/>
      <c r="F58" s="959"/>
      <c r="G58" s="959"/>
      <c r="H58" s="959"/>
      <c r="I58" s="959"/>
      <c r="J58" s="959"/>
      <c r="K58" s="959"/>
      <c r="L58" s="959"/>
      <c r="M58" s="959"/>
      <c r="N58" s="959"/>
      <c r="O58" s="959"/>
      <c r="P58" s="959"/>
      <c r="Q58" s="959"/>
      <c r="R58" s="959"/>
      <c r="S58" s="959"/>
      <c r="T58" s="959"/>
      <c r="U58" s="959"/>
      <c r="V58" s="959"/>
      <c r="W58" s="959"/>
      <c r="X58" s="959"/>
      <c r="Y58" s="959"/>
      <c r="Z58" s="959"/>
      <c r="AA58" s="959"/>
      <c r="AB58" s="959"/>
      <c r="AC58" s="959"/>
      <c r="AD58" s="959"/>
      <c r="AE58" s="959"/>
      <c r="AF58" s="959"/>
      <c r="AG58" s="959"/>
      <c r="AH58" s="959"/>
      <c r="AI58" s="959"/>
    </row>
    <row r="59" spans="1:35" ht="15.75">
      <c r="A59" s="959"/>
      <c r="B59" s="959"/>
      <c r="C59" s="959"/>
      <c r="D59" s="959"/>
      <c r="E59" s="959"/>
      <c r="F59" s="959"/>
      <c r="G59" s="959"/>
      <c r="H59" s="959"/>
      <c r="I59" s="959"/>
      <c r="J59" s="959"/>
      <c r="K59" s="959"/>
      <c r="L59" s="959"/>
      <c r="M59" s="959"/>
      <c r="N59" s="959"/>
      <c r="O59" s="959"/>
      <c r="P59" s="959"/>
      <c r="Q59" s="959"/>
      <c r="R59" s="959"/>
      <c r="S59" s="959"/>
      <c r="T59" s="959"/>
      <c r="U59" s="959"/>
      <c r="V59" s="959"/>
      <c r="W59" s="959"/>
      <c r="X59" s="959"/>
      <c r="Y59" s="959"/>
      <c r="Z59" s="959"/>
      <c r="AA59" s="959"/>
      <c r="AB59" s="959"/>
      <c r="AC59" s="959"/>
      <c r="AD59" s="959"/>
      <c r="AE59" s="959"/>
      <c r="AF59" s="959"/>
      <c r="AG59" s="959"/>
      <c r="AH59" s="959"/>
      <c r="AI59" s="959"/>
    </row>
    <row r="60" spans="1:35" ht="15.75">
      <c r="A60" s="959"/>
      <c r="B60" s="959"/>
      <c r="C60" s="959"/>
      <c r="D60" s="959"/>
      <c r="E60" s="959"/>
      <c r="F60" s="959"/>
      <c r="G60" s="959"/>
      <c r="H60" s="959"/>
      <c r="I60" s="959"/>
      <c r="J60" s="959"/>
      <c r="K60" s="959"/>
      <c r="L60" s="959"/>
      <c r="M60" s="959"/>
      <c r="N60" s="959"/>
      <c r="O60" s="959"/>
      <c r="P60" s="959"/>
      <c r="Q60" s="959"/>
      <c r="R60" s="959"/>
      <c r="S60" s="959"/>
      <c r="T60" s="959"/>
      <c r="U60" s="959"/>
      <c r="V60" s="959"/>
      <c r="W60" s="959"/>
      <c r="X60" s="959"/>
      <c r="Y60" s="959"/>
      <c r="Z60" s="959"/>
      <c r="AA60" s="959"/>
      <c r="AB60" s="959"/>
      <c r="AC60" s="959"/>
      <c r="AD60" s="959"/>
      <c r="AE60" s="959"/>
      <c r="AF60" s="959"/>
      <c r="AG60" s="959"/>
      <c r="AH60" s="959"/>
      <c r="AI60" s="959"/>
    </row>
    <row r="61" spans="1:35" ht="15.75">
      <c r="A61" s="959"/>
      <c r="B61" s="959"/>
      <c r="C61" s="959"/>
      <c r="D61" s="959"/>
      <c r="E61" s="959"/>
      <c r="F61" s="959"/>
      <c r="G61" s="959"/>
      <c r="H61" s="959"/>
      <c r="I61" s="959"/>
      <c r="J61" s="959"/>
      <c r="K61" s="959"/>
      <c r="L61" s="959"/>
      <c r="M61" s="959"/>
      <c r="N61" s="959"/>
      <c r="O61" s="959"/>
      <c r="P61" s="959"/>
      <c r="Q61" s="959"/>
      <c r="R61" s="959"/>
      <c r="S61" s="959"/>
      <c r="T61" s="959"/>
      <c r="U61" s="959"/>
      <c r="V61" s="959"/>
      <c r="W61" s="959"/>
      <c r="X61" s="959"/>
      <c r="Y61" s="959"/>
      <c r="Z61" s="959"/>
      <c r="AA61" s="959"/>
      <c r="AB61" s="959"/>
      <c r="AC61" s="959"/>
      <c r="AD61" s="959"/>
      <c r="AE61" s="959"/>
      <c r="AF61" s="959"/>
      <c r="AG61" s="959"/>
      <c r="AH61" s="959"/>
      <c r="AI61" s="959"/>
    </row>
    <row r="62" spans="1:35" ht="15.75">
      <c r="A62" s="959"/>
      <c r="B62" s="959"/>
      <c r="C62" s="959"/>
      <c r="D62" s="959"/>
      <c r="E62" s="959"/>
      <c r="F62" s="959"/>
      <c r="G62" s="959"/>
      <c r="H62" s="959"/>
      <c r="I62" s="959"/>
      <c r="J62" s="959"/>
      <c r="K62" s="959"/>
      <c r="L62" s="959"/>
      <c r="M62" s="959"/>
      <c r="N62" s="959"/>
      <c r="O62" s="959"/>
      <c r="P62" s="959"/>
      <c r="Q62" s="959"/>
      <c r="R62" s="959"/>
      <c r="S62" s="959"/>
      <c r="T62" s="959"/>
      <c r="U62" s="959"/>
      <c r="V62" s="959"/>
      <c r="W62" s="959"/>
      <c r="X62" s="959"/>
      <c r="Y62" s="959"/>
      <c r="Z62" s="959"/>
      <c r="AA62" s="959"/>
      <c r="AB62" s="959"/>
      <c r="AC62" s="959"/>
      <c r="AD62" s="959"/>
      <c r="AE62" s="959"/>
      <c r="AF62" s="959"/>
      <c r="AG62" s="959"/>
      <c r="AH62" s="959"/>
      <c r="AI62" s="959"/>
    </row>
    <row r="63" spans="1:35" ht="15.75">
      <c r="A63" s="959"/>
      <c r="B63" s="959"/>
      <c r="C63" s="959"/>
      <c r="D63" s="959"/>
      <c r="E63" s="959"/>
      <c r="F63" s="959"/>
      <c r="G63" s="959"/>
      <c r="H63" s="959"/>
      <c r="I63" s="959"/>
      <c r="J63" s="959"/>
      <c r="K63" s="959"/>
      <c r="L63" s="959"/>
      <c r="M63" s="959"/>
      <c r="N63" s="959"/>
      <c r="O63" s="959"/>
      <c r="P63" s="959"/>
      <c r="Q63" s="959"/>
      <c r="R63" s="959"/>
      <c r="S63" s="959"/>
      <c r="T63" s="959"/>
      <c r="U63" s="959"/>
      <c r="V63" s="959"/>
      <c r="W63" s="959"/>
      <c r="X63" s="959"/>
      <c r="Y63" s="959"/>
      <c r="Z63" s="959"/>
      <c r="AA63" s="959"/>
      <c r="AB63" s="959"/>
      <c r="AC63" s="959"/>
      <c r="AD63" s="959"/>
      <c r="AE63" s="959"/>
      <c r="AF63" s="959"/>
      <c r="AG63" s="959"/>
      <c r="AH63" s="959"/>
      <c r="AI63" s="959"/>
    </row>
    <row r="64" spans="1:35" ht="15.75">
      <c r="A64" s="959"/>
      <c r="B64" s="959"/>
      <c r="C64" s="959"/>
      <c r="D64" s="959"/>
      <c r="E64" s="959"/>
      <c r="F64" s="959"/>
      <c r="G64" s="959"/>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row>
    <row r="65" spans="1:35" ht="15.75">
      <c r="A65" s="959"/>
      <c r="B65" s="959"/>
      <c r="C65" s="959"/>
      <c r="D65" s="959"/>
      <c r="E65" s="959"/>
      <c r="F65" s="959"/>
      <c r="G65" s="959"/>
      <c r="H65" s="959"/>
      <c r="I65" s="959"/>
      <c r="J65" s="959"/>
      <c r="K65" s="959"/>
      <c r="L65" s="959"/>
      <c r="M65" s="959"/>
      <c r="N65" s="959"/>
      <c r="O65" s="959"/>
      <c r="P65" s="959"/>
      <c r="Q65" s="959"/>
      <c r="R65" s="959"/>
      <c r="S65" s="959"/>
      <c r="T65" s="959"/>
      <c r="U65" s="959"/>
      <c r="V65" s="959"/>
      <c r="W65" s="959"/>
      <c r="X65" s="959"/>
      <c r="Y65" s="959"/>
      <c r="Z65" s="959"/>
      <c r="AA65" s="959"/>
      <c r="AB65" s="959"/>
      <c r="AC65" s="959"/>
      <c r="AD65" s="959"/>
      <c r="AE65" s="959"/>
      <c r="AF65" s="959"/>
      <c r="AG65" s="959"/>
      <c r="AH65" s="959"/>
      <c r="AI65" s="959"/>
    </row>
    <row r="66" spans="1:35" ht="15.75">
      <c r="A66" s="959"/>
      <c r="B66" s="959"/>
      <c r="C66" s="959"/>
      <c r="D66" s="959"/>
      <c r="E66" s="959"/>
      <c r="F66" s="959"/>
      <c r="G66" s="959"/>
      <c r="H66" s="959"/>
      <c r="I66" s="959"/>
      <c r="J66" s="959"/>
      <c r="K66" s="959"/>
      <c r="L66" s="959"/>
      <c r="M66" s="959"/>
      <c r="N66" s="959"/>
      <c r="O66" s="959"/>
      <c r="P66" s="959"/>
      <c r="Q66" s="959"/>
      <c r="R66" s="959"/>
      <c r="S66" s="959"/>
      <c r="T66" s="959"/>
      <c r="U66" s="959"/>
      <c r="V66" s="959"/>
      <c r="W66" s="959"/>
      <c r="X66" s="959"/>
      <c r="Y66" s="959"/>
      <c r="Z66" s="959"/>
      <c r="AA66" s="959"/>
      <c r="AB66" s="959"/>
      <c r="AC66" s="959"/>
      <c r="AD66" s="959"/>
      <c r="AE66" s="959"/>
      <c r="AF66" s="959"/>
      <c r="AG66" s="959"/>
      <c r="AH66" s="959"/>
      <c r="AI66" s="959"/>
    </row>
    <row r="67" spans="1:35" ht="15.75">
      <c r="A67" s="959"/>
      <c r="B67" s="959"/>
      <c r="C67" s="959"/>
      <c r="D67" s="959"/>
      <c r="E67" s="959"/>
      <c r="F67" s="959"/>
      <c r="G67" s="959"/>
      <c r="H67" s="959"/>
      <c r="I67" s="959"/>
      <c r="J67" s="959"/>
      <c r="K67" s="959"/>
      <c r="L67" s="959"/>
      <c r="M67" s="959"/>
      <c r="N67" s="959"/>
      <c r="O67" s="959"/>
      <c r="P67" s="959"/>
      <c r="Q67" s="959"/>
      <c r="R67" s="959"/>
      <c r="S67" s="959"/>
      <c r="T67" s="959"/>
      <c r="U67" s="959"/>
      <c r="V67" s="959"/>
      <c r="W67" s="959"/>
      <c r="X67" s="959"/>
      <c r="Y67" s="959"/>
      <c r="Z67" s="959"/>
      <c r="AA67" s="959"/>
      <c r="AB67" s="959"/>
      <c r="AC67" s="959"/>
      <c r="AD67" s="959"/>
      <c r="AE67" s="959"/>
      <c r="AF67" s="959"/>
      <c r="AG67" s="959"/>
      <c r="AH67" s="959"/>
      <c r="AI67" s="959"/>
    </row>
    <row r="68" spans="1:35" ht="15.75">
      <c r="A68" s="959"/>
      <c r="B68" s="959"/>
      <c r="C68" s="959"/>
      <c r="D68" s="959"/>
      <c r="E68" s="959"/>
      <c r="F68" s="959"/>
      <c r="G68" s="959"/>
      <c r="H68" s="959"/>
      <c r="I68" s="959"/>
      <c r="J68" s="959"/>
      <c r="K68" s="959"/>
      <c r="L68" s="959"/>
      <c r="M68" s="959"/>
      <c r="N68" s="959"/>
      <c r="O68" s="959"/>
      <c r="P68" s="959"/>
      <c r="Q68" s="959"/>
      <c r="R68" s="959"/>
      <c r="S68" s="959"/>
      <c r="T68" s="959"/>
      <c r="U68" s="959"/>
      <c r="V68" s="959"/>
      <c r="W68" s="959"/>
      <c r="X68" s="959"/>
      <c r="Y68" s="959"/>
      <c r="Z68" s="959"/>
      <c r="AA68" s="959"/>
      <c r="AB68" s="959"/>
      <c r="AC68" s="959"/>
      <c r="AD68" s="959"/>
      <c r="AE68" s="959"/>
      <c r="AF68" s="959"/>
      <c r="AG68" s="959"/>
      <c r="AH68" s="959"/>
      <c r="AI68" s="959"/>
    </row>
    <row r="69" spans="1:35" ht="15.75">
      <c r="A69" s="959"/>
      <c r="B69" s="959"/>
      <c r="C69" s="959"/>
      <c r="D69" s="959"/>
      <c r="E69" s="959"/>
      <c r="F69" s="959"/>
      <c r="G69" s="959"/>
      <c r="H69" s="959"/>
      <c r="I69" s="959"/>
      <c r="J69" s="959"/>
      <c r="K69" s="959"/>
      <c r="L69" s="959"/>
      <c r="M69" s="959"/>
      <c r="N69" s="959"/>
      <c r="O69" s="959"/>
      <c r="P69" s="959"/>
      <c r="Q69" s="959"/>
      <c r="R69" s="959"/>
      <c r="S69" s="959"/>
      <c r="T69" s="959"/>
      <c r="U69" s="959"/>
      <c r="V69" s="959"/>
      <c r="W69" s="959"/>
      <c r="X69" s="959"/>
      <c r="Y69" s="959"/>
      <c r="Z69" s="959"/>
      <c r="AA69" s="959"/>
      <c r="AB69" s="959"/>
      <c r="AC69" s="959"/>
      <c r="AD69" s="959"/>
      <c r="AE69" s="959"/>
      <c r="AF69" s="959"/>
      <c r="AG69" s="959"/>
      <c r="AH69" s="959"/>
      <c r="AI69" s="959"/>
    </row>
    <row r="70" spans="1:35" ht="15.75">
      <c r="A70" s="959"/>
      <c r="B70" s="959"/>
      <c r="C70" s="959"/>
      <c r="D70" s="959"/>
      <c r="E70" s="959"/>
      <c r="F70" s="959"/>
      <c r="G70" s="959"/>
      <c r="H70" s="959"/>
      <c r="I70" s="959"/>
      <c r="J70" s="959"/>
      <c r="K70" s="959"/>
      <c r="L70" s="959"/>
      <c r="M70" s="959"/>
      <c r="N70" s="959"/>
      <c r="O70" s="959"/>
      <c r="P70" s="959"/>
      <c r="Q70" s="959"/>
      <c r="R70" s="959"/>
      <c r="S70" s="959"/>
      <c r="T70" s="959"/>
      <c r="U70" s="959"/>
      <c r="V70" s="959"/>
      <c r="W70" s="959"/>
      <c r="X70" s="959"/>
      <c r="Y70" s="959"/>
      <c r="Z70" s="959"/>
      <c r="AA70" s="959"/>
      <c r="AB70" s="959"/>
      <c r="AC70" s="959"/>
      <c r="AD70" s="959"/>
      <c r="AE70" s="959"/>
      <c r="AF70" s="959"/>
      <c r="AG70" s="959"/>
      <c r="AH70" s="959"/>
      <c r="AI70" s="959"/>
    </row>
    <row r="71" spans="1:35" ht="15.75">
      <c r="A71" s="959"/>
      <c r="B71" s="959"/>
      <c r="C71" s="959"/>
      <c r="D71" s="959"/>
      <c r="E71" s="959"/>
      <c r="F71" s="959"/>
      <c r="G71" s="959"/>
      <c r="H71" s="959"/>
      <c r="I71" s="959"/>
      <c r="J71" s="959"/>
      <c r="K71" s="959"/>
      <c r="L71" s="959"/>
      <c r="M71" s="959"/>
      <c r="N71" s="959"/>
      <c r="O71" s="959"/>
      <c r="P71" s="959"/>
      <c r="Q71" s="959"/>
      <c r="R71" s="959"/>
      <c r="S71" s="959"/>
      <c r="T71" s="959"/>
      <c r="U71" s="959"/>
      <c r="V71" s="959"/>
      <c r="W71" s="959"/>
      <c r="X71" s="959"/>
      <c r="Y71" s="959"/>
      <c r="Z71" s="959"/>
      <c r="AA71" s="959"/>
      <c r="AB71" s="959"/>
      <c r="AC71" s="959"/>
      <c r="AD71" s="959"/>
      <c r="AE71" s="959"/>
      <c r="AF71" s="959"/>
      <c r="AG71" s="959"/>
      <c r="AH71" s="959"/>
      <c r="AI71" s="959"/>
    </row>
    <row r="72" spans="1:35" ht="15.75">
      <c r="A72" s="959"/>
      <c r="B72" s="959"/>
      <c r="C72" s="959"/>
      <c r="D72" s="959"/>
      <c r="E72" s="959"/>
      <c r="F72" s="959"/>
      <c r="G72" s="959"/>
      <c r="H72" s="959"/>
      <c r="I72" s="959"/>
      <c r="J72" s="959"/>
      <c r="K72" s="959"/>
      <c r="L72" s="959"/>
      <c r="M72" s="959"/>
      <c r="N72" s="959"/>
      <c r="O72" s="959"/>
      <c r="P72" s="959"/>
      <c r="Q72" s="959"/>
      <c r="R72" s="959"/>
      <c r="S72" s="959"/>
      <c r="T72" s="959"/>
      <c r="U72" s="959"/>
      <c r="V72" s="959"/>
      <c r="W72" s="959"/>
      <c r="X72" s="959"/>
      <c r="Y72" s="959"/>
      <c r="Z72" s="959"/>
      <c r="AA72" s="959"/>
      <c r="AB72" s="959"/>
      <c r="AC72" s="959"/>
      <c r="AD72" s="959"/>
      <c r="AE72" s="959"/>
      <c r="AF72" s="959"/>
      <c r="AG72" s="959"/>
      <c r="AH72" s="959"/>
      <c r="AI72" s="959"/>
    </row>
    <row r="73" spans="1:35" ht="15.75">
      <c r="A73" s="959"/>
      <c r="B73" s="959"/>
      <c r="C73" s="959"/>
      <c r="D73" s="959"/>
      <c r="E73" s="959"/>
      <c r="F73" s="959"/>
      <c r="G73" s="959"/>
      <c r="H73" s="959"/>
      <c r="I73" s="959"/>
      <c r="J73" s="959"/>
      <c r="K73" s="959"/>
      <c r="L73" s="959"/>
      <c r="M73" s="959"/>
      <c r="N73" s="959"/>
      <c r="O73" s="959"/>
      <c r="P73" s="959"/>
      <c r="Q73" s="959"/>
      <c r="R73" s="959"/>
      <c r="S73" s="959"/>
      <c r="T73" s="959"/>
      <c r="U73" s="959"/>
      <c r="V73" s="959"/>
      <c r="W73" s="959"/>
      <c r="X73" s="959"/>
      <c r="Y73" s="959"/>
      <c r="Z73" s="959"/>
      <c r="AA73" s="959"/>
      <c r="AB73" s="959"/>
      <c r="AC73" s="959"/>
      <c r="AD73" s="959"/>
      <c r="AE73" s="959"/>
      <c r="AF73" s="959"/>
      <c r="AG73" s="959"/>
      <c r="AH73" s="959"/>
      <c r="AI73" s="959"/>
    </row>
    <row r="74" spans="1:35" ht="15.75">
      <c r="A74" s="959"/>
      <c r="B74" s="959"/>
      <c r="C74" s="959"/>
      <c r="D74" s="959"/>
      <c r="E74" s="959"/>
      <c r="F74" s="959"/>
      <c r="G74" s="959"/>
      <c r="H74" s="959"/>
      <c r="I74" s="959"/>
      <c r="J74" s="959"/>
      <c r="K74" s="959"/>
      <c r="L74" s="959"/>
      <c r="M74" s="959"/>
      <c r="N74" s="959"/>
      <c r="O74" s="959"/>
      <c r="P74" s="959"/>
      <c r="Q74" s="959"/>
      <c r="R74" s="959"/>
      <c r="S74" s="959"/>
      <c r="T74" s="959"/>
      <c r="U74" s="959"/>
      <c r="V74" s="959"/>
      <c r="W74" s="959"/>
      <c r="X74" s="959"/>
      <c r="Y74" s="959"/>
      <c r="Z74" s="959"/>
      <c r="AA74" s="959"/>
      <c r="AB74" s="959"/>
      <c r="AC74" s="959"/>
      <c r="AD74" s="959"/>
      <c r="AE74" s="959"/>
      <c r="AF74" s="959"/>
      <c r="AG74" s="959"/>
      <c r="AH74" s="959"/>
      <c r="AI74" s="959"/>
    </row>
    <row r="75" spans="1:35" ht="15.75">
      <c r="A75" s="959"/>
      <c r="B75" s="959"/>
      <c r="C75" s="959"/>
      <c r="D75" s="959"/>
      <c r="E75" s="959"/>
      <c r="F75" s="959"/>
      <c r="G75" s="959"/>
      <c r="H75" s="959"/>
      <c r="I75" s="959"/>
      <c r="J75" s="959"/>
      <c r="K75" s="959"/>
      <c r="L75" s="959"/>
      <c r="M75" s="959"/>
      <c r="N75" s="959"/>
      <c r="O75" s="959"/>
      <c r="P75" s="959"/>
      <c r="Q75" s="959"/>
      <c r="R75" s="959"/>
      <c r="S75" s="959"/>
      <c r="T75" s="959"/>
      <c r="U75" s="959"/>
      <c r="V75" s="959"/>
      <c r="W75" s="959"/>
      <c r="X75" s="959"/>
      <c r="Y75" s="959"/>
      <c r="Z75" s="959"/>
      <c r="AA75" s="959"/>
      <c r="AB75" s="959"/>
      <c r="AC75" s="959"/>
      <c r="AD75" s="959"/>
      <c r="AE75" s="959"/>
      <c r="AF75" s="959"/>
      <c r="AG75" s="959"/>
      <c r="AH75" s="959"/>
      <c r="AI75" s="959"/>
    </row>
    <row r="76" spans="1:35" ht="15.75">
      <c r="A76" s="959"/>
      <c r="B76" s="959"/>
      <c r="C76" s="959"/>
      <c r="D76" s="959"/>
      <c r="E76" s="959"/>
      <c r="F76" s="959"/>
      <c r="G76" s="959"/>
      <c r="H76" s="959"/>
      <c r="I76" s="959"/>
      <c r="J76" s="959"/>
      <c r="K76" s="959"/>
      <c r="L76" s="959"/>
      <c r="M76" s="959"/>
      <c r="N76" s="959"/>
      <c r="O76" s="959"/>
      <c r="P76" s="959"/>
      <c r="Q76" s="959"/>
      <c r="R76" s="959"/>
      <c r="S76" s="959"/>
      <c r="T76" s="959"/>
      <c r="U76" s="959"/>
      <c r="V76" s="959"/>
      <c r="W76" s="959"/>
      <c r="X76" s="959"/>
      <c r="Y76" s="959"/>
      <c r="Z76" s="959"/>
      <c r="AA76" s="959"/>
      <c r="AB76" s="959"/>
      <c r="AC76" s="959"/>
      <c r="AD76" s="959"/>
      <c r="AE76" s="959"/>
      <c r="AF76" s="959"/>
      <c r="AG76" s="959"/>
      <c r="AH76" s="959"/>
      <c r="AI76" s="959"/>
    </row>
  </sheetData>
  <mergeCells count="6">
    <mergeCell ref="B1:AD1"/>
    <mergeCell ref="B2:AD2"/>
    <mergeCell ref="C5:T5"/>
    <mergeCell ref="AO28:AO29"/>
    <mergeCell ref="Y5:AC5"/>
    <mergeCell ref="C25:AI25"/>
  </mergeCells>
  <phoneticPr fontId="135" type="noConversion"/>
  <pageMargins left="0.7" right="0.7" top="0.75" bottom="0.75" header="0.3" footer="0.3"/>
  <pageSetup scale="2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30AAD-99BA-416C-8B3E-0C0AA23605ED}">
  <sheetPr>
    <pageSetUpPr fitToPage="1"/>
  </sheetPr>
  <dimension ref="A1:AB43"/>
  <sheetViews>
    <sheetView zoomScaleNormal="100" workbookViewId="0">
      <selection activeCell="B2" sqref="B2:AA2"/>
    </sheetView>
  </sheetViews>
  <sheetFormatPr defaultRowHeight="15"/>
  <cols>
    <col min="1" max="1" width="4.7109375" customWidth="1"/>
    <col min="2" max="2" width="14.28515625" customWidth="1"/>
    <col min="3" max="3" width="6" customWidth="1"/>
    <col min="4" max="4" width="7.5703125" bestFit="1" customWidth="1"/>
    <col min="5" max="5" width="13.7109375" customWidth="1"/>
    <col min="6" max="7" width="11.5703125" customWidth="1"/>
    <col min="8" max="8" width="17" customWidth="1"/>
    <col min="9" max="9" width="11.5703125" customWidth="1"/>
    <col min="10" max="10" width="15.140625" customWidth="1"/>
    <col min="11" max="19" width="11.5703125" customWidth="1"/>
    <col min="20" max="20" width="15.140625" customWidth="1"/>
    <col min="21" max="21" width="11.7109375" customWidth="1"/>
    <col min="22" max="23" width="13.42578125" customWidth="1"/>
    <col min="24" max="24" width="15.28515625" customWidth="1"/>
    <col min="25" max="25" width="11.7109375" customWidth="1"/>
  </cols>
  <sheetData>
    <row r="1" spans="1:28" ht="15.75">
      <c r="A1" s="956"/>
      <c r="B1" s="1967" t="s">
        <v>2</v>
      </c>
      <c r="C1" s="1967"/>
      <c r="D1" s="1967"/>
      <c r="E1" s="1967"/>
      <c r="F1" s="1967"/>
      <c r="G1" s="1967"/>
      <c r="H1" s="1967"/>
      <c r="I1" s="1967"/>
      <c r="J1" s="1967"/>
      <c r="K1" s="1967"/>
      <c r="L1" s="1967"/>
      <c r="M1" s="1967"/>
      <c r="N1" s="1967"/>
      <c r="O1" s="1967"/>
      <c r="P1" s="1967"/>
      <c r="Q1" s="1967"/>
      <c r="R1" s="1967"/>
      <c r="S1" s="1967"/>
      <c r="T1" s="1968"/>
      <c r="U1" s="1968"/>
      <c r="V1" s="1968"/>
      <c r="W1" s="1968"/>
      <c r="X1" s="1968"/>
      <c r="Y1" s="1968"/>
      <c r="Z1" s="1968"/>
      <c r="AA1" s="1968"/>
    </row>
    <row r="2" spans="1:28" ht="15.75">
      <c r="A2" s="1046"/>
      <c r="B2" s="1988" t="s">
        <v>1168</v>
      </c>
      <c r="C2" s="1988"/>
      <c r="D2" s="1988"/>
      <c r="E2" s="1988"/>
      <c r="F2" s="1988"/>
      <c r="G2" s="1988"/>
      <c r="H2" s="1988"/>
      <c r="I2" s="1988"/>
      <c r="J2" s="1988"/>
      <c r="K2" s="1988"/>
      <c r="L2" s="1988"/>
      <c r="M2" s="1988"/>
      <c r="N2" s="1988"/>
      <c r="O2" s="1988"/>
      <c r="P2" s="1988"/>
      <c r="Q2" s="1988"/>
      <c r="R2" s="1988"/>
      <c r="S2" s="1988"/>
      <c r="T2" s="1968"/>
      <c r="U2" s="1968"/>
      <c r="V2" s="1968"/>
      <c r="W2" s="1968"/>
      <c r="X2" s="1968"/>
      <c r="Y2" s="1968"/>
      <c r="Z2" s="1968"/>
      <c r="AA2" s="1968"/>
    </row>
    <row r="3" spans="1:28" ht="15.75">
      <c r="A3" s="956"/>
      <c r="B3" s="960"/>
      <c r="C3" s="957"/>
      <c r="D3" s="957"/>
      <c r="E3" s="309"/>
      <c r="F3" s="309"/>
      <c r="G3" s="309"/>
      <c r="H3" s="309"/>
      <c r="I3" s="309"/>
      <c r="J3" s="957"/>
      <c r="L3" s="958"/>
      <c r="M3" s="958"/>
      <c r="N3" s="1047">
        <f>'Att 9b - 2024 True-up'!Q3</f>
        <v>2024</v>
      </c>
      <c r="P3" s="958"/>
      <c r="Q3" s="958"/>
      <c r="R3" s="958"/>
      <c r="S3" s="958"/>
      <c r="T3" s="959"/>
      <c r="U3" s="958"/>
      <c r="V3" s="958"/>
      <c r="W3" s="958"/>
      <c r="X3" s="958"/>
      <c r="Y3" s="958"/>
      <c r="Z3" s="958"/>
    </row>
    <row r="4" spans="1:28" ht="16.5" thickBot="1">
      <c r="A4" s="959"/>
      <c r="B4" s="959"/>
      <c r="C4" s="959"/>
      <c r="D4" s="959"/>
      <c r="E4" s="959"/>
      <c r="F4" s="959"/>
      <c r="G4" s="959"/>
      <c r="H4" s="959"/>
      <c r="I4" s="959"/>
      <c r="J4" s="959"/>
      <c r="K4" s="959"/>
      <c r="L4" s="959"/>
      <c r="M4" s="959"/>
      <c r="N4" s="959"/>
      <c r="O4" s="959"/>
      <c r="P4" s="959"/>
      <c r="Q4" s="959"/>
      <c r="R4" s="959"/>
      <c r="S4" s="959"/>
      <c r="T4" s="959"/>
      <c r="U4" s="958"/>
      <c r="V4" s="958"/>
      <c r="W4" s="958"/>
      <c r="X4" s="958"/>
      <c r="Y4" s="958"/>
      <c r="Z4" s="958"/>
    </row>
    <row r="5" spans="1:28" ht="16.5" thickBot="1">
      <c r="A5" s="959"/>
      <c r="B5" s="1983" t="s">
        <v>702</v>
      </c>
      <c r="C5" s="1984"/>
      <c r="D5" s="1985"/>
      <c r="E5" s="1982" t="s">
        <v>1169</v>
      </c>
      <c r="F5" s="1971"/>
      <c r="G5" s="1971"/>
      <c r="H5" s="1971"/>
      <c r="I5" s="1971"/>
      <c r="J5" s="1971"/>
      <c r="K5" s="1971"/>
      <c r="L5" s="1971"/>
      <c r="M5" s="1971"/>
      <c r="N5" s="1971"/>
      <c r="O5" s="1971"/>
      <c r="P5" s="1971"/>
      <c r="Q5" s="1971"/>
      <c r="R5" s="1971"/>
      <c r="S5" s="1971"/>
      <c r="T5" s="1971"/>
      <c r="U5" s="1971"/>
      <c r="V5" s="1971"/>
      <c r="W5" s="1971"/>
      <c r="X5" s="1971"/>
      <c r="Y5" s="1971"/>
      <c r="Z5" s="1971"/>
      <c r="AA5" s="1975"/>
    </row>
    <row r="6" spans="1:28" ht="16.5" thickBot="1">
      <c r="A6" s="959"/>
      <c r="B6" s="1986"/>
      <c r="C6" s="1977"/>
      <c r="D6" s="1987"/>
      <c r="E6" s="1836" t="s">
        <v>1091</v>
      </c>
      <c r="F6" s="1832" t="s">
        <v>1092</v>
      </c>
      <c r="G6" s="1833" t="s">
        <v>1093</v>
      </c>
      <c r="H6" s="1833" t="s">
        <v>1094</v>
      </c>
      <c r="I6" s="1833" t="s">
        <v>1095</v>
      </c>
      <c r="J6" s="1833" t="s">
        <v>1096</v>
      </c>
      <c r="K6" s="1833" t="s">
        <v>1097</v>
      </c>
      <c r="L6" s="1833" t="s">
        <v>1098</v>
      </c>
      <c r="M6" s="1833" t="s">
        <v>1099</v>
      </c>
      <c r="N6" s="1833" t="s">
        <v>1100</v>
      </c>
      <c r="O6" s="1833" t="s">
        <v>1101</v>
      </c>
      <c r="P6" s="1833" t="s">
        <v>1102</v>
      </c>
      <c r="Q6" s="1833" t="s">
        <v>1103</v>
      </c>
      <c r="R6" s="1833" t="s">
        <v>1104</v>
      </c>
      <c r="S6" s="1833" t="s">
        <v>1105</v>
      </c>
      <c r="T6" s="1833" t="s">
        <v>1106</v>
      </c>
      <c r="U6" s="1833" t="s">
        <v>1107</v>
      </c>
      <c r="V6" s="1833" t="s">
        <v>1108</v>
      </c>
      <c r="W6" s="1833" t="s">
        <v>1572</v>
      </c>
      <c r="X6" s="1833" t="s">
        <v>1796</v>
      </c>
      <c r="Y6" s="1833" t="s">
        <v>1797</v>
      </c>
      <c r="Z6" s="1833" t="s">
        <v>1816</v>
      </c>
      <c r="AA6" s="1835" t="s">
        <v>1109</v>
      </c>
      <c r="AB6" s="959"/>
    </row>
    <row r="7" spans="1:28" ht="63">
      <c r="A7" s="959"/>
      <c r="B7" s="973" t="s">
        <v>1115</v>
      </c>
      <c r="C7" s="973"/>
      <c r="D7" s="1051"/>
      <c r="E7" s="1052" t="str">
        <f>'Att 9b - 2024 True-up'!E7</f>
        <v>PacifiCorp</v>
      </c>
      <c r="F7" s="975" t="str">
        <f>'Att 9b - 2024 True-up'!F7</f>
        <v>BPA Yakama</v>
      </c>
      <c r="G7" s="976" t="str">
        <f>'Att 9b - 2024 True-up'!G7</f>
        <v>BPA Gazley</v>
      </c>
      <c r="H7" s="976" t="str">
        <f>'Att 9b - 2024 True-up'!H7</f>
        <v>BPA Clarke PUD</v>
      </c>
      <c r="I7" s="976" t="str">
        <f>'Att 9b - 2024 True-up'!I7</f>
        <v>BPA: Benton REA</v>
      </c>
      <c r="J7" s="976" t="str">
        <f>'Att 9b - 2024 True-up'!J7</f>
        <v>BPA Oregon Wind</v>
      </c>
      <c r="K7" s="976" t="str">
        <f>'Att 9b - 2024 True-up'!K7</f>
        <v>BPA CEC</v>
      </c>
      <c r="L7" s="976" t="str">
        <f>'Att 9b - 2024 True-up'!L7</f>
        <v>BPA Airport Solar</v>
      </c>
      <c r="M7" s="976" t="str">
        <f>'Att 9b - 2024 True-up'!M7</f>
        <v>BPA WEID</v>
      </c>
      <c r="N7" s="976" t="str">
        <f>'Att 9b - 2024 True-up'!N7</f>
        <v xml:space="preserve"> Tri-State</v>
      </c>
      <c r="O7" s="976" t="str">
        <f>'Att 9b - 2024 True-up'!O7</f>
        <v>Calpine Energy Solutions LLC</v>
      </c>
      <c r="P7" s="976" t="str">
        <f>'Att 9b - 2024 True-up'!P7</f>
        <v>Basin Electric</v>
      </c>
      <c r="Q7" s="976" t="str">
        <f>'Att 9b - 2024 True-up'!Q7</f>
        <v>Black Hills</v>
      </c>
      <c r="R7" s="976" t="str">
        <f>'Att 9b - 2024 True-up'!R7</f>
        <v xml:space="preserve">USBR </v>
      </c>
      <c r="S7" s="976" t="str">
        <f>'Att 9b - 2024 True-up'!S7</f>
        <v>WAPA</v>
      </c>
      <c r="T7" s="976" t="str">
        <f>'Att 9b - 2024 True-up'!T7</f>
        <v>Avangrid Renewables, LLC</v>
      </c>
      <c r="U7" s="976" t="str">
        <f>'Att 9b - 2024 True-up'!U7</f>
        <v>Exelon</v>
      </c>
      <c r="V7" s="976" t="str">
        <f>'Att 9b - 2024 True-up'!V7</f>
        <v>BPA South East Idaho</v>
      </c>
      <c r="W7" s="976" t="str">
        <f>'Att 9b - 2024 True-up'!W7</f>
        <v>BPA Idaho Falls</v>
      </c>
      <c r="X7" s="976" t="str">
        <f>'Att 9b - 2024 True-up'!X7</f>
        <v>3 Phases Renewables Inc.</v>
      </c>
      <c r="Y7" s="976" t="str">
        <f>'Att 9b - 2024 True-up'!Y7</f>
        <v>NTUA</v>
      </c>
      <c r="Z7" s="976" t="str">
        <f>'Att 9b - 2024 True-up'!Z7</f>
        <v>Montana Dakota</v>
      </c>
      <c r="AA7" s="1053"/>
      <c r="AB7" s="959"/>
    </row>
    <row r="8" spans="1:28" ht="31.5">
      <c r="A8" s="959"/>
      <c r="B8" s="979" t="s">
        <v>1120</v>
      </c>
      <c r="C8" s="979"/>
      <c r="D8" s="1054"/>
      <c r="E8" s="1055" t="str">
        <f>'Att 9b - 2024 True-up'!E8</f>
        <v>NFS</v>
      </c>
      <c r="F8" s="981" t="s">
        <v>1122</v>
      </c>
      <c r="G8" s="977" t="s">
        <v>1122</v>
      </c>
      <c r="H8" s="977" t="s">
        <v>1122</v>
      </c>
      <c r="I8" s="977" t="s">
        <v>1122</v>
      </c>
      <c r="J8" s="977" t="s">
        <v>1122</v>
      </c>
      <c r="K8" s="977" t="s">
        <v>1122</v>
      </c>
      <c r="L8" s="977" t="s">
        <v>1122</v>
      </c>
      <c r="M8" s="977" t="s">
        <v>1122</v>
      </c>
      <c r="N8" s="977" t="s">
        <v>1122</v>
      </c>
      <c r="O8" s="977" t="s">
        <v>1122</v>
      </c>
      <c r="P8" s="977" t="s">
        <v>1122</v>
      </c>
      <c r="Q8" s="977" t="s">
        <v>1122</v>
      </c>
      <c r="R8" s="977" t="s">
        <v>1122</v>
      </c>
      <c r="S8" s="977" t="s">
        <v>1122</v>
      </c>
      <c r="T8" s="977" t="s">
        <v>1122</v>
      </c>
      <c r="U8" s="977" t="s">
        <v>1122</v>
      </c>
      <c r="V8" s="977" t="s">
        <v>1122</v>
      </c>
      <c r="W8" s="977" t="s">
        <v>1122</v>
      </c>
      <c r="X8" s="977"/>
      <c r="Y8" s="977"/>
      <c r="Z8" s="977"/>
      <c r="AA8" s="1056" t="s">
        <v>1123</v>
      </c>
      <c r="AB8" s="959"/>
    </row>
    <row r="9" spans="1:28" ht="16.5" thickBot="1">
      <c r="A9" s="959"/>
      <c r="B9" s="983" t="s">
        <v>1126</v>
      </c>
      <c r="C9" s="1057" t="s">
        <v>1170</v>
      </c>
      <c r="D9" s="1057" t="s">
        <v>1171</v>
      </c>
      <c r="E9" s="1058"/>
      <c r="F9" s="984" t="str">
        <f>'Att 9b - 2024 True-up'!F9</f>
        <v>SA 328</v>
      </c>
      <c r="G9" s="985" t="str">
        <f>'Att 9b - 2024 True-up'!G9</f>
        <v>SA 229</v>
      </c>
      <c r="H9" s="985" t="str">
        <f>'Att 9b - 2024 True-up'!H9</f>
        <v>SA 735</v>
      </c>
      <c r="I9" s="985" t="str">
        <f>'Att 9b - 2024 True-up'!I9</f>
        <v>SA 539</v>
      </c>
      <c r="J9" s="985" t="str">
        <f>'Att 9b - 2024 True-up'!J9</f>
        <v>SA 538</v>
      </c>
      <c r="K9" s="985" t="str">
        <f>'Att 9b - 2024 True-up'!K9</f>
        <v>SA 827</v>
      </c>
      <c r="L9" s="985" t="str">
        <f>'Att 9b - 2024 True-up'!L9</f>
        <v>SA 865</v>
      </c>
      <c r="M9" s="985" t="str">
        <f>'Att 9b - 2024 True-up'!M9</f>
        <v>SA 975</v>
      </c>
      <c r="N9" s="985" t="str">
        <f>'Att 9b - 2024 True-up'!N9</f>
        <v>SA 628</v>
      </c>
      <c r="O9" s="985" t="str">
        <f>'Att 9b - 2024 True-up'!O9</f>
        <v>SA 299</v>
      </c>
      <c r="P9" s="985" t="str">
        <f>'Att 9b - 2024 True-up'!P9</f>
        <v>SA 505</v>
      </c>
      <c r="Q9" s="985" t="str">
        <f>'Att 9b - 2024 True-up'!Q9</f>
        <v>SA 347</v>
      </c>
      <c r="R9" s="985" t="str">
        <f>'Att 9b - 2024 True-up'!R9</f>
        <v>SA 506</v>
      </c>
      <c r="S9" s="985" t="str">
        <f>'Att 9b - 2024 True-up'!S9</f>
        <v>SA 175</v>
      </c>
      <c r="T9" s="985" t="str">
        <f>'Att 9b - 2024 True-up'!T9</f>
        <v>SA 742</v>
      </c>
      <c r="U9" s="985" t="str">
        <f>'Att 9b - 2024 True-up'!U9</f>
        <v>SA 943</v>
      </c>
      <c r="V9" s="985" t="str">
        <f>'Att 9b - 2024 True-up'!V9</f>
        <v>SA 746</v>
      </c>
      <c r="W9" s="985" t="str">
        <f>'Att 9b - 2024 True-up'!W9</f>
        <v>SA 747</v>
      </c>
      <c r="X9" s="985" t="str">
        <f>'Att 9b - 2024 True-up'!X9</f>
        <v>SA 876</v>
      </c>
      <c r="Y9" s="985" t="str">
        <f>'Att 9b - 2024 True-up'!Y9</f>
        <v>SA 894</v>
      </c>
      <c r="Z9" s="1895" t="str">
        <f>'Att 9b - 2024 True-up'!Z9</f>
        <v>SA 1097</v>
      </c>
      <c r="AA9" s="1059"/>
      <c r="AB9" s="959"/>
    </row>
    <row r="10" spans="1:28" ht="15.75">
      <c r="A10" s="959"/>
      <c r="B10" s="967" t="s">
        <v>976</v>
      </c>
      <c r="C10" s="1060">
        <f>'Att 9b - 2024 True-up'!C10</f>
        <v>16</v>
      </c>
      <c r="D10" s="1512">
        <f>'Att 9b - 2024 True-up'!D10</f>
        <v>0.33333333333333331</v>
      </c>
      <c r="E10" s="993">
        <f>'Att 9b - 2024 True-up'!E10</f>
        <v>9138.848</v>
      </c>
      <c r="F10" s="1061">
        <f>'Att 9b - 2024 True-up'!F10</f>
        <v>6.9119999999999999</v>
      </c>
      <c r="G10" s="1062">
        <f>'Att 9b - 2024 True-up'!G10</f>
        <v>3.069</v>
      </c>
      <c r="H10" s="1062">
        <f>'Att 9b - 2024 True-up'!H10</f>
        <v>38.613999999999997</v>
      </c>
      <c r="I10" s="1062">
        <f>'Att 9b - 2024 True-up'!I10</f>
        <v>1.83</v>
      </c>
      <c r="J10" s="1062">
        <f>'Att 9b - 2024 True-up'!J10</f>
        <v>0.67300000000000004</v>
      </c>
      <c r="K10" s="1062">
        <f>'Att 9b - 2024 True-up'!K10</f>
        <v>0.25800000000000001</v>
      </c>
      <c r="L10" s="1062">
        <f>'Att 9b - 2024 True-up'!L10</f>
        <v>0.112</v>
      </c>
      <c r="M10" s="1062">
        <f>'Att 9b - 2024 True-up'!M10</f>
        <v>1.2E-2</v>
      </c>
      <c r="N10" s="1062">
        <f>'Att 9b - 2024 True-up'!N10</f>
        <v>19.940000000000001</v>
      </c>
      <c r="O10" s="1062">
        <f>'Att 9b - 2024 True-up'!O10</f>
        <v>16.038</v>
      </c>
      <c r="P10" s="1062">
        <f>'Att 9b - 2024 True-up'!P10</f>
        <v>11.676</v>
      </c>
      <c r="Q10" s="1062">
        <f>'Att 9b - 2024 True-up'!Q10</f>
        <v>0</v>
      </c>
      <c r="R10" s="1062">
        <f>'Att 9b - 2024 True-up'!R10</f>
        <v>7.0000000000000001E-3</v>
      </c>
      <c r="S10" s="1062">
        <f>'Att 9b - 2024 True-up'!S10</f>
        <v>8.9999999999999993E-3</v>
      </c>
      <c r="T10" s="1062">
        <f>'Att 9b - 2024 True-up'!T10</f>
        <v>27.300999999999998</v>
      </c>
      <c r="U10" s="1062">
        <f>'Att 9b - 2024 True-up'!U10</f>
        <v>8.36</v>
      </c>
      <c r="V10" s="1062">
        <f>'Att 9b - 2024 True-up'!V10</f>
        <v>392.56900000000002</v>
      </c>
      <c r="W10" s="1062">
        <f>'Att 9b - 2024 True-up'!W10</f>
        <v>108.42999999999999</v>
      </c>
      <c r="X10" s="1062">
        <f>'Att 9b - 2024 True-up'!X10</f>
        <v>0</v>
      </c>
      <c r="Y10" s="1062">
        <f>'Att 9b - 2024 True-up'!Y10</f>
        <v>5.024</v>
      </c>
      <c r="Z10" s="1062">
        <f>'Att 9b - 2024 True-up'!Z10</f>
        <v>65.709000000000003</v>
      </c>
      <c r="AA10" s="991">
        <f t="shared" ref="AA10:AA22" si="0">SUM(F10:Z10)</f>
        <v>706.54299999999989</v>
      </c>
      <c r="AB10" s="959"/>
    </row>
    <row r="11" spans="1:28" ht="15.75">
      <c r="A11" s="959"/>
      <c r="B11" s="967" t="s">
        <v>977</v>
      </c>
      <c r="C11" s="1060">
        <f>'Att 9b - 2024 True-up'!C11</f>
        <v>13</v>
      </c>
      <c r="D11" s="1512">
        <f>'Att 9b - 2024 True-up'!D11</f>
        <v>0.33333333333333331</v>
      </c>
      <c r="E11" s="993">
        <f>'Att 9b - 2024 True-up'!E11</f>
        <v>7981.5879999999997</v>
      </c>
      <c r="F11" s="1063">
        <f>'Att 9b - 2024 True-up'!F11</f>
        <v>7.6840000000000002</v>
      </c>
      <c r="G11" s="994">
        <f>'Att 9b - 2024 True-up'!G11</f>
        <v>2.952</v>
      </c>
      <c r="H11" s="994">
        <f>'Att 9b - 2024 True-up'!H11</f>
        <v>28.649000000000001</v>
      </c>
      <c r="I11" s="994">
        <f>'Att 9b - 2024 True-up'!I11</f>
        <v>1.333</v>
      </c>
      <c r="J11" s="994">
        <f>'Att 9b - 2024 True-up'!J11</f>
        <v>0.42099999999999999</v>
      </c>
      <c r="K11" s="994">
        <f>'Att 9b - 2024 True-up'!K11</f>
        <v>1.7000000000000001E-2</v>
      </c>
      <c r="L11" s="994">
        <f>'Att 9b - 2024 True-up'!L11</f>
        <v>4.4999999999999998E-2</v>
      </c>
      <c r="M11" s="994">
        <f>'Att 9b - 2024 True-up'!M11</f>
        <v>1.0999999999999999E-2</v>
      </c>
      <c r="N11" s="994">
        <f>'Att 9b - 2024 True-up'!N11</f>
        <v>18.009</v>
      </c>
      <c r="O11" s="994">
        <f>'Att 9b - 2024 True-up'!O11</f>
        <v>16.600000000000001</v>
      </c>
      <c r="P11" s="994">
        <f>'Att 9b - 2024 True-up'!P11</f>
        <v>9.6690000000000005</v>
      </c>
      <c r="Q11" s="994">
        <f>'Att 9b - 2024 True-up'!Q11</f>
        <v>0</v>
      </c>
      <c r="R11" s="994">
        <f>'Att 9b - 2024 True-up'!R11</f>
        <v>7.0000000000000001E-3</v>
      </c>
      <c r="S11" s="994">
        <f>'Att 9b - 2024 True-up'!S11</f>
        <v>6.0000000000000001E-3</v>
      </c>
      <c r="T11" s="994">
        <f>'Att 9b - 2024 True-up'!T11</f>
        <v>32.779000000000003</v>
      </c>
      <c r="U11" s="994">
        <f>'Att 9b - 2024 True-up'!U11</f>
        <v>8.8659999999999997</v>
      </c>
      <c r="V11" s="994">
        <f>'Att 9b - 2024 True-up'!V11</f>
        <v>268.49400000000003</v>
      </c>
      <c r="W11" s="994">
        <f>'Att 9b - 2024 True-up'!W11</f>
        <v>108.30500000000001</v>
      </c>
      <c r="X11" s="994">
        <f>'Att 9b - 2024 True-up'!X11</f>
        <v>0</v>
      </c>
      <c r="Y11" s="994">
        <f>'Att 9b - 2024 True-up'!Y11</f>
        <v>5.0220000000000002</v>
      </c>
      <c r="Z11" s="994">
        <f>'Att 9b - 2024 True-up'!Z11</f>
        <v>42.606999999999999</v>
      </c>
      <c r="AA11" s="991">
        <f t="shared" si="0"/>
        <v>551.476</v>
      </c>
      <c r="AB11" s="959"/>
    </row>
    <row r="12" spans="1:28" ht="15.75">
      <c r="A12" s="959"/>
      <c r="B12" s="967" t="s">
        <v>795</v>
      </c>
      <c r="C12" s="1060">
        <f>'Att 9b - 2024 True-up'!C12</f>
        <v>4</v>
      </c>
      <c r="D12" s="1512">
        <f>'Att 9b - 2024 True-up'!D12</f>
        <v>0.33333333333333331</v>
      </c>
      <c r="E12" s="993">
        <f>'Att 9b - 2024 True-up'!E12</f>
        <v>8211.1730000000007</v>
      </c>
      <c r="F12" s="1063">
        <f>'Att 9b - 2024 True-up'!F12</f>
        <v>6.5739999999999998</v>
      </c>
      <c r="G12" s="994">
        <f>'Att 9b - 2024 True-up'!G12</f>
        <v>3.274</v>
      </c>
      <c r="H12" s="994">
        <f>'Att 9b - 2024 True-up'!H12</f>
        <v>28.864000000000001</v>
      </c>
      <c r="I12" s="994">
        <f>'Att 9b - 2024 True-up'!I12</f>
        <v>1.335</v>
      </c>
      <c r="J12" s="994">
        <f>'Att 9b - 2024 True-up'!J12</f>
        <v>3.2000000000000001E-2</v>
      </c>
      <c r="K12" s="994">
        <f>'Att 9b - 2024 True-up'!K12</f>
        <v>0.01</v>
      </c>
      <c r="L12" s="994">
        <f>'Att 9b - 2024 True-up'!L12</f>
        <v>5.0000000000000001E-3</v>
      </c>
      <c r="M12" s="994">
        <f>'Att 9b - 2024 True-up'!M12</f>
        <v>1.0999999999999999E-2</v>
      </c>
      <c r="N12" s="994">
        <f>'Att 9b - 2024 True-up'!N12</f>
        <v>17.143999999999998</v>
      </c>
      <c r="O12" s="994">
        <f>'Att 9b - 2024 True-up'!O12</f>
        <v>16.190000000000001</v>
      </c>
      <c r="P12" s="994">
        <f>'Att 9b - 2024 True-up'!P12</f>
        <v>9.5069999999999997</v>
      </c>
      <c r="Q12" s="994">
        <f>'Att 9b - 2024 True-up'!Q12</f>
        <v>0</v>
      </c>
      <c r="R12" s="994">
        <f>'Att 9b - 2024 True-up'!R12</f>
        <v>8.0000000000000002E-3</v>
      </c>
      <c r="S12" s="994">
        <f>'Att 9b - 2024 True-up'!S12</f>
        <v>8.9999999999999993E-3</v>
      </c>
      <c r="T12" s="994">
        <f>'Att 9b - 2024 True-up'!T12</f>
        <v>34.448999999999998</v>
      </c>
      <c r="U12" s="994">
        <f>'Att 9b - 2024 True-up'!U12</f>
        <v>8.4559999999999995</v>
      </c>
      <c r="V12" s="994">
        <f>'Att 9b - 2024 True-up'!V12</f>
        <v>296.52699999999999</v>
      </c>
      <c r="W12" s="994">
        <f>'Att 9b - 2024 True-up'!W12</f>
        <v>107.00099999999999</v>
      </c>
      <c r="X12" s="994">
        <f>'Att 9b - 2024 True-up'!X12</f>
        <v>0</v>
      </c>
      <c r="Y12" s="994">
        <f>'Att 9b - 2024 True-up'!Y12</f>
        <v>4.4269999999999996</v>
      </c>
      <c r="Z12" s="994">
        <f>'Att 9b - 2024 True-up'!Z12</f>
        <v>45.621000000000002</v>
      </c>
      <c r="AA12" s="991">
        <f t="shared" si="0"/>
        <v>579.44399999999996</v>
      </c>
      <c r="AB12" s="959"/>
    </row>
    <row r="13" spans="1:28" ht="15.75">
      <c r="A13" s="959"/>
      <c r="B13" s="967" t="s">
        <v>796</v>
      </c>
      <c r="C13" s="1060">
        <f>'Att 9b - 2024 True-up'!C13</f>
        <v>8</v>
      </c>
      <c r="D13" s="1512">
        <f>'Att 9b - 2024 True-up'!D13</f>
        <v>0.33333333333333331</v>
      </c>
      <c r="E13" s="993">
        <f>'Att 9b - 2024 True-up'!E13</f>
        <v>7292.6469999999999</v>
      </c>
      <c r="F13" s="1063">
        <f>'Att 9b - 2024 True-up'!F13</f>
        <v>6.4340000000000002</v>
      </c>
      <c r="G13" s="994">
        <f>'Att 9b - 2024 True-up'!G13</f>
        <v>2.8410000000000002</v>
      </c>
      <c r="H13" s="994">
        <f>'Att 9b - 2024 True-up'!H13</f>
        <v>20.507000000000001</v>
      </c>
      <c r="I13" s="994">
        <f>'Att 9b - 2024 True-up'!I13</f>
        <v>1.077</v>
      </c>
      <c r="J13" s="994">
        <f>'Att 9b - 2024 True-up'!J13</f>
        <v>0</v>
      </c>
      <c r="K13" s="994">
        <f>'Att 9b - 2024 True-up'!K13</f>
        <v>0</v>
      </c>
      <c r="L13" s="994">
        <f>'Att 9b - 2024 True-up'!L13</f>
        <v>0</v>
      </c>
      <c r="M13" s="994">
        <f>'Att 9b - 2024 True-up'!M13</f>
        <v>1.0999999999999999E-2</v>
      </c>
      <c r="N13" s="994">
        <f>'Att 9b - 2024 True-up'!N13</f>
        <v>14.105</v>
      </c>
      <c r="O13" s="994">
        <f>'Att 9b - 2024 True-up'!O13</f>
        <v>15.779</v>
      </c>
      <c r="P13" s="994">
        <f>'Att 9b - 2024 True-up'!P13</f>
        <v>8.6460000000000008</v>
      </c>
      <c r="Q13" s="994">
        <f>'Att 9b - 2024 True-up'!Q13</f>
        <v>0</v>
      </c>
      <c r="R13" s="994">
        <f>'Att 9b - 2024 True-up'!R13</f>
        <v>0.22800000000000001</v>
      </c>
      <c r="S13" s="994">
        <f>'Att 9b - 2024 True-up'!S13</f>
        <v>8.9999999999999993E-3</v>
      </c>
      <c r="T13" s="994">
        <f>'Att 9b - 2024 True-up'!T13</f>
        <v>33.9</v>
      </c>
      <c r="U13" s="994">
        <f>'Att 9b - 2024 True-up'!U13</f>
        <v>8.7680000000000007</v>
      </c>
      <c r="V13" s="994">
        <f>'Att 9b - 2024 True-up'!V13</f>
        <v>219.71100000000001</v>
      </c>
      <c r="W13" s="994">
        <f>'Att 9b - 2024 True-up'!W13</f>
        <v>71.8</v>
      </c>
      <c r="X13" s="994">
        <f>'Att 9b - 2024 True-up'!X13</f>
        <v>0</v>
      </c>
      <c r="Y13" s="994">
        <f>'Att 9b - 2024 True-up'!Y13</f>
        <v>3.923</v>
      </c>
      <c r="Z13" s="994">
        <f>'Att 9b - 2024 True-up'!Z13</f>
        <v>42.523000000000003</v>
      </c>
      <c r="AA13" s="991">
        <f t="shared" si="0"/>
        <v>450.26200000000006</v>
      </c>
      <c r="AB13" s="959"/>
    </row>
    <row r="14" spans="1:28" ht="15.75">
      <c r="A14" s="998"/>
      <c r="B14" s="967" t="s">
        <v>797</v>
      </c>
      <c r="C14" s="1060">
        <f>'Att 9b - 2024 True-up'!C14</f>
        <v>28</v>
      </c>
      <c r="D14" s="1512">
        <f>'Att 9b - 2024 True-up'!D14</f>
        <v>0.75</v>
      </c>
      <c r="E14" s="993">
        <f>'Att 9b - 2024 True-up'!E14</f>
        <v>7759.1540000000005</v>
      </c>
      <c r="F14" s="1063">
        <f>'Att 9b - 2024 True-up'!F14</f>
        <v>4.8730000000000002</v>
      </c>
      <c r="G14" s="994">
        <f>'Att 9b - 2024 True-up'!G14</f>
        <v>2.528</v>
      </c>
      <c r="H14" s="994">
        <f>'Att 9b - 2024 True-up'!H14</f>
        <v>13.238</v>
      </c>
      <c r="I14" s="994">
        <f>'Att 9b - 2024 True-up'!I14</f>
        <v>0.45600000000000002</v>
      </c>
      <c r="J14" s="994">
        <f>'Att 9b - 2024 True-up'!J14</f>
        <v>0</v>
      </c>
      <c r="K14" s="994">
        <f>'Att 9b - 2024 True-up'!K14</f>
        <v>0</v>
      </c>
      <c r="L14" s="994">
        <f>'Att 9b - 2024 True-up'!L14</f>
        <v>0</v>
      </c>
      <c r="M14" s="994">
        <f>'Att 9b - 2024 True-up'!M14</f>
        <v>0.186</v>
      </c>
      <c r="N14" s="994">
        <f>'Att 9b - 2024 True-up'!N14</f>
        <v>11.706</v>
      </c>
      <c r="O14" s="994">
        <f>'Att 9b - 2024 True-up'!O14</f>
        <v>17.437999999999999</v>
      </c>
      <c r="P14" s="994">
        <f>'Att 9b - 2024 True-up'!P14</f>
        <v>9.2720000000000002</v>
      </c>
      <c r="Q14" s="994">
        <f>'Att 9b - 2024 True-up'!Q14</f>
        <v>0</v>
      </c>
      <c r="R14" s="994">
        <f>'Att 9b - 2024 True-up'!R14</f>
        <v>0.51200000000000001</v>
      </c>
      <c r="S14" s="994">
        <f>'Att 9b - 2024 True-up'!S14</f>
        <v>2.548</v>
      </c>
      <c r="T14" s="994">
        <f>'Att 9b - 2024 True-up'!T14</f>
        <v>34.771999999999998</v>
      </c>
      <c r="U14" s="994">
        <f>'Att 9b - 2024 True-up'!U14</f>
        <v>7.9640000000000004</v>
      </c>
      <c r="V14" s="994">
        <f>'Att 9b - 2024 True-up'!V14</f>
        <v>141.44200000000001</v>
      </c>
      <c r="W14" s="994">
        <f>'Att 9b - 2024 True-up'!W14</f>
        <v>94.10499999999999</v>
      </c>
      <c r="X14" s="994">
        <f>'Att 9b - 2024 True-up'!X14</f>
        <v>0</v>
      </c>
      <c r="Y14" s="994">
        <f>'Att 9b - 2024 True-up'!Y14</f>
        <v>4.3460000000000001</v>
      </c>
      <c r="Z14" s="994">
        <f>'Att 9b - 2024 True-up'!Z14</f>
        <v>37.338999999999999</v>
      </c>
      <c r="AA14" s="991">
        <f t="shared" si="0"/>
        <v>382.72499999999997</v>
      </c>
      <c r="AB14" s="959"/>
    </row>
    <row r="15" spans="1:28" ht="15.75">
      <c r="A15" s="959"/>
      <c r="B15" s="967" t="s">
        <v>980</v>
      </c>
      <c r="C15" s="1060">
        <f>'Att 9b - 2024 True-up'!C15</f>
        <v>25</v>
      </c>
      <c r="D15" s="1512">
        <f>'Att 9b - 2024 True-up'!D15</f>
        <v>0.75</v>
      </c>
      <c r="E15" s="993">
        <f>'Att 9b - 2024 True-up'!E15</f>
        <v>10542.151</v>
      </c>
      <c r="F15" s="1063">
        <f>'Att 9b - 2024 True-up'!F15</f>
        <v>5.8920000000000003</v>
      </c>
      <c r="G15" s="994">
        <f>'Att 9b - 2024 True-up'!G15</f>
        <v>3.1709999999999998</v>
      </c>
      <c r="H15" s="994">
        <f>'Att 9b - 2024 True-up'!H15</f>
        <v>15.067</v>
      </c>
      <c r="I15" s="994">
        <f>'Att 9b - 2024 True-up'!I15</f>
        <v>0.315</v>
      </c>
      <c r="J15" s="994">
        <f>'Att 9b - 2024 True-up'!J15</f>
        <v>0</v>
      </c>
      <c r="K15" s="994">
        <f>'Att 9b - 2024 True-up'!K15</f>
        <v>0</v>
      </c>
      <c r="L15" s="994">
        <f>'Att 9b - 2024 True-up'!L15</f>
        <v>0</v>
      </c>
      <c r="M15" s="994">
        <f>'Att 9b - 2024 True-up'!M15</f>
        <v>1.1830000000000001</v>
      </c>
      <c r="N15" s="994">
        <f>'Att 9b - 2024 True-up'!N15</f>
        <v>17.622</v>
      </c>
      <c r="O15" s="994">
        <f>'Att 9b - 2024 True-up'!O15</f>
        <v>19.972999999999999</v>
      </c>
      <c r="P15" s="994">
        <f>'Att 9b - 2024 True-up'!P15</f>
        <v>10.589</v>
      </c>
      <c r="Q15" s="994">
        <f>'Att 9b - 2024 True-up'!Q15</f>
        <v>0</v>
      </c>
      <c r="R15" s="994">
        <f>'Att 9b - 2024 True-up'!R15</f>
        <v>0.53</v>
      </c>
      <c r="S15" s="994">
        <f>'Att 9b - 2024 True-up'!S15</f>
        <v>3.3769999999999998</v>
      </c>
      <c r="T15" s="994">
        <f>'Att 9b - 2024 True-up'!T15</f>
        <v>36.128999999999998</v>
      </c>
      <c r="U15" s="994">
        <f>'Att 9b - 2024 True-up'!U15</f>
        <v>5.9499999999999993</v>
      </c>
      <c r="V15" s="994">
        <f>'Att 9b - 2024 True-up'!V15</f>
        <v>197.173</v>
      </c>
      <c r="W15" s="994">
        <f>'Att 9b - 2024 True-up'!W15</f>
        <v>116.97200000000001</v>
      </c>
      <c r="X15" s="994">
        <f>'Att 9b - 2024 True-up'!X15</f>
        <v>0</v>
      </c>
      <c r="Y15" s="994">
        <f>'Att 9b - 2024 True-up'!Y15</f>
        <v>4.2030000000000003</v>
      </c>
      <c r="Z15" s="994">
        <f>'Att 9b - 2024 True-up'!Z15</f>
        <v>56.530999999999999</v>
      </c>
      <c r="AA15" s="991">
        <f t="shared" si="0"/>
        <v>494.67699999999996</v>
      </c>
      <c r="AB15" s="959"/>
    </row>
    <row r="16" spans="1:28" ht="15.75">
      <c r="A16" s="959"/>
      <c r="B16" s="967" t="s">
        <v>1131</v>
      </c>
      <c r="C16" s="1060">
        <f>'Att 9b - 2024 True-up'!C16</f>
        <v>10</v>
      </c>
      <c r="D16" s="1512">
        <f>'Att 9b - 2024 True-up'!D16</f>
        <v>0.70833333333333337</v>
      </c>
      <c r="E16" s="993">
        <f>'Att 9b - 2024 True-up'!E16</f>
        <v>11155.932000000001</v>
      </c>
      <c r="F16" s="1063">
        <f>'Att 9b - 2024 True-up'!F16</f>
        <v>6.9080000000000004</v>
      </c>
      <c r="G16" s="994">
        <f>'Att 9b - 2024 True-up'!G16</f>
        <v>3.5840000000000001</v>
      </c>
      <c r="H16" s="994">
        <f>'Att 9b - 2024 True-up'!H16</f>
        <v>17.716000000000001</v>
      </c>
      <c r="I16" s="994">
        <f>'Att 9b - 2024 True-up'!I16</f>
        <v>0.47099999999999997</v>
      </c>
      <c r="J16" s="994">
        <f>'Att 9b - 2024 True-up'!J16</f>
        <v>0</v>
      </c>
      <c r="K16" s="994">
        <f>'Att 9b - 2024 True-up'!K16</f>
        <v>0</v>
      </c>
      <c r="L16" s="994">
        <f>'Att 9b - 2024 True-up'!L16</f>
        <v>0</v>
      </c>
      <c r="M16" s="994">
        <f>'Att 9b - 2024 True-up'!M16</f>
        <v>1.3620000000000001</v>
      </c>
      <c r="N16" s="994">
        <f>'Att 9b - 2024 True-up'!N16</f>
        <v>15.446</v>
      </c>
      <c r="O16" s="994">
        <f>'Att 9b - 2024 True-up'!O16</f>
        <v>21.588999999999999</v>
      </c>
      <c r="P16" s="994">
        <f>'Att 9b - 2024 True-up'!P16</f>
        <v>11.356</v>
      </c>
      <c r="Q16" s="994">
        <f>'Att 9b - 2024 True-up'!Q16</f>
        <v>0</v>
      </c>
      <c r="R16" s="994">
        <f>'Att 9b - 2024 True-up'!R16</f>
        <v>0.6</v>
      </c>
      <c r="S16" s="994">
        <f>'Att 9b - 2024 True-up'!S16</f>
        <v>2.069</v>
      </c>
      <c r="T16" s="994">
        <f>'Att 9b - 2024 True-up'!T16</f>
        <v>36.253999999999998</v>
      </c>
      <c r="U16" s="994">
        <f>'Att 9b - 2024 True-up'!U16</f>
        <v>7.8049999999999997</v>
      </c>
      <c r="V16" s="994">
        <f>'Att 9b - 2024 True-up'!V16</f>
        <v>211.32599999999999</v>
      </c>
      <c r="W16" s="994">
        <f>'Att 9b - 2024 True-up'!W16</f>
        <v>109.244</v>
      </c>
      <c r="X16" s="994">
        <f>'Att 9b - 2024 True-up'!X16</f>
        <v>0</v>
      </c>
      <c r="Y16" s="994">
        <f>'Att 9b - 2024 True-up'!Y16</f>
        <v>5.641</v>
      </c>
      <c r="Z16" s="994">
        <f>'Att 9b - 2024 True-up'!Z16</f>
        <v>67.92</v>
      </c>
      <c r="AA16" s="991">
        <f t="shared" si="0"/>
        <v>519.29100000000005</v>
      </c>
      <c r="AB16" s="959"/>
    </row>
    <row r="17" spans="1:28" ht="15.75">
      <c r="A17" s="959"/>
      <c r="B17" s="967" t="s">
        <v>982</v>
      </c>
      <c r="C17" s="1060">
        <f>'Att 9b - 2024 True-up'!C17</f>
        <v>6</v>
      </c>
      <c r="D17" s="1512">
        <f>'Att 9b - 2024 True-up'!D17</f>
        <v>0.70833333333333337</v>
      </c>
      <c r="E17" s="993">
        <f>'Att 9b - 2024 True-up'!E17</f>
        <v>10846.869000000001</v>
      </c>
      <c r="F17" s="1063">
        <f>'Att 9b - 2024 True-up'!F17</f>
        <v>7.2190000000000003</v>
      </c>
      <c r="G17" s="994">
        <f>'Att 9b - 2024 True-up'!G17</f>
        <v>3.181</v>
      </c>
      <c r="H17" s="994">
        <f>'Att 9b - 2024 True-up'!H17</f>
        <v>13.004</v>
      </c>
      <c r="I17" s="994">
        <f>'Att 9b - 2024 True-up'!I17</f>
        <v>0</v>
      </c>
      <c r="J17" s="994">
        <f>'Att 9b - 2024 True-up'!J17</f>
        <v>0</v>
      </c>
      <c r="K17" s="994">
        <f>'Att 9b - 2024 True-up'!K17</f>
        <v>0</v>
      </c>
      <c r="L17" s="994">
        <f>'Att 9b - 2024 True-up'!L17</f>
        <v>0</v>
      </c>
      <c r="M17" s="994">
        <f>'Att 9b - 2024 True-up'!M17</f>
        <v>1.2</v>
      </c>
      <c r="N17" s="994">
        <f>'Att 9b - 2024 True-up'!N17</f>
        <v>16.846</v>
      </c>
      <c r="O17" s="994">
        <f>'Att 9b - 2024 True-up'!O17</f>
        <v>20.29</v>
      </c>
      <c r="P17" s="994">
        <f>'Att 9b - 2024 True-up'!P17</f>
        <v>11.099</v>
      </c>
      <c r="Q17" s="994">
        <f>'Att 9b - 2024 True-up'!Q17</f>
        <v>0</v>
      </c>
      <c r="R17" s="994">
        <f>'Att 9b - 2024 True-up'!R17</f>
        <v>0.58499999999999996</v>
      </c>
      <c r="S17" s="994">
        <f>'Att 9b - 2024 True-up'!S17</f>
        <v>2.78</v>
      </c>
      <c r="T17" s="994">
        <f>'Att 9b - 2024 True-up'!T17</f>
        <v>36.180999999999997</v>
      </c>
      <c r="U17" s="994">
        <f>'Att 9b - 2024 True-up'!U17</f>
        <v>6.4649999999999999</v>
      </c>
      <c r="V17" s="994">
        <f>'Att 9b - 2024 True-up'!V17</f>
        <v>179.315</v>
      </c>
      <c r="W17" s="994">
        <f>'Att 9b - 2024 True-up'!W17</f>
        <v>123.596</v>
      </c>
      <c r="X17" s="994">
        <f>'Att 9b - 2024 True-up'!X17</f>
        <v>0</v>
      </c>
      <c r="Y17" s="994">
        <f>'Att 9b - 2024 True-up'!Y17</f>
        <v>5.7789999999999999</v>
      </c>
      <c r="Z17" s="994">
        <f>'Att 9b - 2024 True-up'!Z17</f>
        <v>52.921999999999997</v>
      </c>
      <c r="AA17" s="991">
        <f t="shared" si="0"/>
        <v>480.46199999999999</v>
      </c>
      <c r="AB17" s="959"/>
    </row>
    <row r="18" spans="1:28" ht="15.75">
      <c r="A18" s="959"/>
      <c r="B18" s="967" t="s">
        <v>1132</v>
      </c>
      <c r="C18" s="1060">
        <f>'Att 9b - 2024 True-up'!C18</f>
        <v>6</v>
      </c>
      <c r="D18" s="1512">
        <f>'Att 9b - 2024 True-up'!D18</f>
        <v>0.70833333333333337</v>
      </c>
      <c r="E18" s="993">
        <f>'Att 9b - 2024 True-up'!E18</f>
        <v>9716.9359999999997</v>
      </c>
      <c r="F18" s="1063">
        <f>'Att 9b - 2024 True-up'!F18</f>
        <v>7.0720000000000001</v>
      </c>
      <c r="G18" s="994">
        <f>'Att 9b - 2024 True-up'!G18</f>
        <v>3.6080000000000001</v>
      </c>
      <c r="H18" s="994">
        <f>'Att 9b - 2024 True-up'!H18</f>
        <v>18.239999999999998</v>
      </c>
      <c r="I18" s="994">
        <f>'Att 9b - 2024 True-up'!I18</f>
        <v>0.30599999999999999</v>
      </c>
      <c r="J18" s="994">
        <f>'Att 9b - 2024 True-up'!J18</f>
        <v>3.0000000000000001E-3</v>
      </c>
      <c r="K18" s="994">
        <f>'Att 9b - 2024 True-up'!K18</f>
        <v>0</v>
      </c>
      <c r="L18" s="994">
        <f>'Att 9b - 2024 True-up'!L18</f>
        <v>0</v>
      </c>
      <c r="M18" s="994">
        <f>'Att 9b - 2024 True-up'!M18</f>
        <v>1.073</v>
      </c>
      <c r="N18" s="994">
        <f>'Att 9b - 2024 True-up'!N18</f>
        <v>15.031000000000001</v>
      </c>
      <c r="O18" s="994">
        <f>'Att 9b - 2024 True-up'!O18</f>
        <v>21.376000000000001</v>
      </c>
      <c r="P18" s="994">
        <f>'Att 9b - 2024 True-up'!P18</f>
        <v>10.234</v>
      </c>
      <c r="Q18" s="994">
        <f>'Att 9b - 2024 True-up'!Q18</f>
        <v>0</v>
      </c>
      <c r="R18" s="994">
        <f>'Att 9b - 2024 True-up'!R18</f>
        <v>0.52</v>
      </c>
      <c r="S18" s="994">
        <f>'Att 9b - 2024 True-up'!S18</f>
        <v>2.5230000000000001</v>
      </c>
      <c r="T18" s="994">
        <f>'Att 9b - 2024 True-up'!T18</f>
        <v>36.094000000000001</v>
      </c>
      <c r="U18" s="994">
        <f>'Att 9b - 2024 True-up'!U18</f>
        <v>7.367</v>
      </c>
      <c r="V18" s="994">
        <f>'Att 9b - 2024 True-up'!V18</f>
        <v>146.642</v>
      </c>
      <c r="W18" s="994">
        <f>'Att 9b - 2024 True-up'!W18</f>
        <v>107.627</v>
      </c>
      <c r="X18" s="994">
        <f>'Att 9b - 2024 True-up'!X18</f>
        <v>0</v>
      </c>
      <c r="Y18" s="994">
        <f>'Att 9b - 2024 True-up'!Y18</f>
        <v>4.7590000000000003</v>
      </c>
      <c r="Z18" s="994">
        <f>'Att 9b - 2024 True-up'!Z18</f>
        <v>50.502000000000002</v>
      </c>
      <c r="AA18" s="991">
        <f t="shared" si="0"/>
        <v>432.97700000000003</v>
      </c>
      <c r="AB18" s="959"/>
    </row>
    <row r="19" spans="1:28" ht="15.75">
      <c r="A19" s="959"/>
      <c r="B19" s="967" t="s">
        <v>984</v>
      </c>
      <c r="C19" s="1060">
        <f>'Att 9b - 2024 True-up'!C19</f>
        <v>9</v>
      </c>
      <c r="D19" s="1512">
        <f>'Att 9b - 2024 True-up'!D19</f>
        <v>0.70833333333333337</v>
      </c>
      <c r="E19" s="993">
        <f>'Att 9b - 2024 True-up'!E19</f>
        <v>7725.9620000000004</v>
      </c>
      <c r="F19" s="1063">
        <f>'Att 9b - 2024 True-up'!F19</f>
        <v>5.0730000000000004</v>
      </c>
      <c r="G19" s="994">
        <f>'Att 9b - 2024 True-up'!G19</f>
        <v>2.7370000000000001</v>
      </c>
      <c r="H19" s="994">
        <f>'Att 9b - 2024 True-up'!H19</f>
        <v>11.271000000000001</v>
      </c>
      <c r="I19" s="994">
        <f>'Att 9b - 2024 True-up'!I19</f>
        <v>0.42799999999999999</v>
      </c>
      <c r="J19" s="994">
        <f>'Att 9b - 2024 True-up'!J19</f>
        <v>3.4000000000000002E-2</v>
      </c>
      <c r="K19" s="994">
        <f>'Att 9b - 2024 True-up'!K19</f>
        <v>0</v>
      </c>
      <c r="L19" s="994">
        <f>'Att 9b - 2024 True-up'!L19</f>
        <v>0</v>
      </c>
      <c r="M19" s="994">
        <f>'Att 9b - 2024 True-up'!M19</f>
        <v>0.54700000000000004</v>
      </c>
      <c r="N19" s="994">
        <f>'Att 9b - 2024 True-up'!N19</f>
        <v>11.074</v>
      </c>
      <c r="O19" s="994">
        <f>'Att 9b - 2024 True-up'!O19</f>
        <v>17.725999999999999</v>
      </c>
      <c r="P19" s="994">
        <f>'Att 9b - 2024 True-up'!P19</f>
        <v>7.8869999999999996</v>
      </c>
      <c r="Q19" s="994">
        <f>'Att 9b - 2024 True-up'!Q19</f>
        <v>0</v>
      </c>
      <c r="R19" s="994">
        <f>'Att 9b - 2024 True-up'!R19</f>
        <v>0.24</v>
      </c>
      <c r="S19" s="994">
        <f>'Att 9b - 2024 True-up'!S19</f>
        <v>1.1040000000000001</v>
      </c>
      <c r="T19" s="994">
        <f>'Att 9b - 2024 True-up'!T19</f>
        <v>34.93</v>
      </c>
      <c r="U19" s="994">
        <f>'Att 9b - 2024 True-up'!U19</f>
        <v>6.9370000000000003</v>
      </c>
      <c r="V19" s="994">
        <f>'Att 9b - 2024 True-up'!V19</f>
        <v>124.92400000000001</v>
      </c>
      <c r="W19" s="994">
        <f>'Att 9b - 2024 True-up'!W19</f>
        <v>90.227000000000004</v>
      </c>
      <c r="X19" s="994">
        <f>'Att 9b - 2024 True-up'!X19</f>
        <v>0</v>
      </c>
      <c r="Y19" s="994">
        <f>'Att 9b - 2024 True-up'!Y19</f>
        <v>4.1280000000000001</v>
      </c>
      <c r="Z19" s="994">
        <f>'Att 9b - 2024 True-up'!Z19</f>
        <v>37.694000000000003</v>
      </c>
      <c r="AA19" s="991">
        <f t="shared" si="0"/>
        <v>356.96100000000001</v>
      </c>
      <c r="AB19" s="959"/>
    </row>
    <row r="20" spans="1:28" ht="15.75">
      <c r="A20" s="959"/>
      <c r="B20" s="967" t="s">
        <v>985</v>
      </c>
      <c r="C20" s="1060">
        <f>'Att 9b - 2024 True-up'!C20</f>
        <v>19</v>
      </c>
      <c r="D20" s="1512">
        <f>'Att 9b - 2024 True-up'!D20</f>
        <v>0.75</v>
      </c>
      <c r="E20" s="993">
        <f>'Att 9b - 2024 True-up'!E20</f>
        <v>8213.5589999999993</v>
      </c>
      <c r="F20" s="1063">
        <f>'Att 9b - 2024 True-up'!F20</f>
        <v>6.34</v>
      </c>
      <c r="G20" s="994">
        <f>'Att 9b - 2024 True-up'!G20</f>
        <v>2.9119999999999999</v>
      </c>
      <c r="H20" s="994">
        <f>'Att 9b - 2024 True-up'!H20</f>
        <v>25.050999999999998</v>
      </c>
      <c r="I20" s="994">
        <f>'Att 9b - 2024 True-up'!I20</f>
        <v>0</v>
      </c>
      <c r="J20" s="994">
        <f>'Att 9b - 2024 True-up'!J20</f>
        <v>0</v>
      </c>
      <c r="K20" s="994">
        <f>'Att 9b - 2024 True-up'!K20</f>
        <v>0.182</v>
      </c>
      <c r="L20" s="994">
        <f>'Att 9b - 2024 True-up'!L20</f>
        <v>0.22500000000000001</v>
      </c>
      <c r="M20" s="994">
        <f>'Att 9b - 2024 True-up'!M20</f>
        <v>1.0999999999999999E-2</v>
      </c>
      <c r="N20" s="994">
        <f>'Att 9b - 2024 True-up'!N20</f>
        <v>17</v>
      </c>
      <c r="O20" s="994">
        <f>'Att 9b - 2024 True-up'!O20</f>
        <v>14.936</v>
      </c>
      <c r="P20" s="994">
        <f>'Att 9b - 2024 True-up'!P20</f>
        <v>10.169</v>
      </c>
      <c r="Q20" s="994">
        <f>'Att 9b - 2024 True-up'!Q20</f>
        <v>0</v>
      </c>
      <c r="R20" s="994">
        <f>'Att 9b - 2024 True-up'!R20</f>
        <v>8.0000000000000002E-3</v>
      </c>
      <c r="S20" s="994">
        <f>'Att 9b - 2024 True-up'!S20</f>
        <v>8.0000000000000002E-3</v>
      </c>
      <c r="T20" s="994">
        <f>'Att 9b - 2024 True-up'!T20</f>
        <v>34.954000000000001</v>
      </c>
      <c r="U20" s="994">
        <f>'Att 9b - 2024 True-up'!U20</f>
        <v>7.7809999999999997</v>
      </c>
      <c r="V20" s="994">
        <f>'Att 9b - 2024 True-up'!V20</f>
        <v>270.26600000000002</v>
      </c>
      <c r="W20" s="994">
        <f>'Att 9b - 2024 True-up'!W20</f>
        <v>110.443</v>
      </c>
      <c r="X20" s="994">
        <f>'Att 9b - 2024 True-up'!X20</f>
        <v>0</v>
      </c>
      <c r="Y20" s="994">
        <f>'Att 9b - 2024 True-up'!Y20</f>
        <v>4.2329999999999997</v>
      </c>
      <c r="Z20" s="994">
        <f>'Att 9b - 2024 True-up'!Z20</f>
        <v>46.706000000000003</v>
      </c>
      <c r="AA20" s="991">
        <f t="shared" si="0"/>
        <v>551.22500000000002</v>
      </c>
      <c r="AB20" s="959"/>
    </row>
    <row r="21" spans="1:28" ht="16.5" thickBot="1">
      <c r="A21" s="959"/>
      <c r="B21" s="983" t="s">
        <v>986</v>
      </c>
      <c r="C21" s="1060">
        <f>'Att 9b - 2024 True-up'!C21</f>
        <v>10</v>
      </c>
      <c r="D21" s="1512">
        <f>'Att 9b - 2024 True-up'!D21</f>
        <v>0.33333333333333331</v>
      </c>
      <c r="E21" s="993">
        <f>'Att 9b - 2024 True-up'!E21</f>
        <v>8649.3629999999994</v>
      </c>
      <c r="F21" s="1064">
        <f>'Att 9b - 2024 True-up'!F21</f>
        <v>7.5869999999999997</v>
      </c>
      <c r="G21" s="994">
        <f>'Att 9b - 2024 True-up'!G21</f>
        <v>3.4929999999999999</v>
      </c>
      <c r="H21" s="994">
        <f>'Att 9b - 2024 True-up'!H21</f>
        <v>31.373000000000001</v>
      </c>
      <c r="I21" s="994">
        <f>'Att 9b - 2024 True-up'!I21</f>
        <v>1.3380000000000001</v>
      </c>
      <c r="J21" s="994">
        <f>'Att 9b - 2024 True-up'!J21</f>
        <v>0.49399999999999999</v>
      </c>
      <c r="K21" s="994">
        <f>'Att 9b - 2024 True-up'!K21</f>
        <v>7.8E-2</v>
      </c>
      <c r="L21" s="994">
        <f>'Att 9b - 2024 True-up'!L21</f>
        <v>0.156</v>
      </c>
      <c r="M21" s="994">
        <f>'Att 9b - 2024 True-up'!M21</f>
        <v>4.0000000000000001E-3</v>
      </c>
      <c r="N21" s="994">
        <f>'Att 9b - 2024 True-up'!N21</f>
        <v>21.558</v>
      </c>
      <c r="O21" s="994">
        <f>'Att 9b - 2024 True-up'!O21</f>
        <v>14.98</v>
      </c>
      <c r="P21" s="994">
        <f>'Att 9b - 2024 True-up'!P21</f>
        <v>10.007</v>
      </c>
      <c r="Q21" s="994">
        <f>'Att 9b - 2024 True-up'!Q21</f>
        <v>0</v>
      </c>
      <c r="R21" s="994">
        <f>'Att 9b - 2024 True-up'!R21</f>
        <v>8.0000000000000002E-3</v>
      </c>
      <c r="S21" s="994">
        <f>'Att 9b - 2024 True-up'!S21</f>
        <v>0.1</v>
      </c>
      <c r="T21" s="994">
        <f>'Att 9b - 2024 True-up'!T21</f>
        <v>34.673000000000002</v>
      </c>
      <c r="U21" s="994">
        <f>'Att 9b - 2024 True-up'!U21</f>
        <v>9.0559999999999992</v>
      </c>
      <c r="V21" s="1601">
        <f>'Att 9b - 2024 True-up'!V21</f>
        <v>297.334</v>
      </c>
      <c r="W21" s="1601">
        <f>'Att 9b - 2024 True-up'!W21</f>
        <v>121.468</v>
      </c>
      <c r="X21" s="1601">
        <f>'Att 9b - 2024 True-up'!X21</f>
        <v>0</v>
      </c>
      <c r="Y21" s="1601">
        <f>'Att 9b - 2024 True-up'!Y21</f>
        <v>4.7809999999999997</v>
      </c>
      <c r="Z21" s="1601">
        <f>'Att 9b - 2024 True-up'!Z21</f>
        <v>49.021000000000001</v>
      </c>
      <c r="AA21" s="991">
        <f t="shared" si="0"/>
        <v>607.5089999999999</v>
      </c>
      <c r="AB21" s="959"/>
    </row>
    <row r="22" spans="1:28" ht="16.5" thickBot="1">
      <c r="A22" s="959"/>
      <c r="B22" s="1002" t="s">
        <v>111</v>
      </c>
      <c r="C22" s="1065"/>
      <c r="D22" s="1066"/>
      <c r="E22" s="1003">
        <f t="shared" ref="E22:Z22" si="1">SUM(E10:E21)</f>
        <v>107234.182</v>
      </c>
      <c r="F22" s="1039">
        <f t="shared" si="1"/>
        <v>78.568000000000026</v>
      </c>
      <c r="G22" s="1040">
        <f t="shared" si="1"/>
        <v>37.35</v>
      </c>
      <c r="H22" s="1040">
        <f t="shared" si="1"/>
        <v>261.59399999999999</v>
      </c>
      <c r="I22" s="1040">
        <f t="shared" si="1"/>
        <v>8.8890000000000011</v>
      </c>
      <c r="J22" s="1040">
        <f t="shared" si="1"/>
        <v>1.657</v>
      </c>
      <c r="K22" s="1040">
        <f t="shared" si="1"/>
        <v>0.54500000000000004</v>
      </c>
      <c r="L22" s="1040">
        <f t="shared" si="1"/>
        <v>0.54300000000000004</v>
      </c>
      <c r="M22" s="1040">
        <f t="shared" si="1"/>
        <v>5.6109999999999989</v>
      </c>
      <c r="N22" s="1040">
        <f t="shared" si="1"/>
        <v>195.48099999999999</v>
      </c>
      <c r="O22" s="1040">
        <f t="shared" si="1"/>
        <v>212.91499999999999</v>
      </c>
      <c r="P22" s="1040">
        <f t="shared" si="1"/>
        <v>120.11099999999999</v>
      </c>
      <c r="Q22" s="1040">
        <f t="shared" si="1"/>
        <v>0</v>
      </c>
      <c r="R22" s="1040">
        <f t="shared" si="1"/>
        <v>3.2530000000000001</v>
      </c>
      <c r="S22" s="1040">
        <f t="shared" si="1"/>
        <v>14.542</v>
      </c>
      <c r="T22" s="1040">
        <f t="shared" si="1"/>
        <v>412.416</v>
      </c>
      <c r="U22" s="1040">
        <f t="shared" si="1"/>
        <v>93.775000000000006</v>
      </c>
      <c r="V22" s="1040">
        <f t="shared" si="1"/>
        <v>2745.723</v>
      </c>
      <c r="W22" s="1040">
        <f t="shared" si="1"/>
        <v>1269.2180000000001</v>
      </c>
      <c r="X22" s="1040">
        <f t="shared" si="1"/>
        <v>0</v>
      </c>
      <c r="Y22" s="1040">
        <f t="shared" si="1"/>
        <v>56.265999999999991</v>
      </c>
      <c r="Z22" s="1040">
        <f t="shared" si="1"/>
        <v>595.09500000000003</v>
      </c>
      <c r="AA22" s="1003">
        <f t="shared" si="0"/>
        <v>6113.5519999999997</v>
      </c>
      <c r="AB22" s="959"/>
    </row>
    <row r="23" spans="1:28" ht="15.75">
      <c r="A23" s="959"/>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row>
    <row r="24" spans="1:28" ht="15.75">
      <c r="A24" s="959"/>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row>
    <row r="25" spans="1:28" ht="16.5" thickBot="1">
      <c r="A25" s="959"/>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row>
    <row r="26" spans="1:28" ht="16.5" thickBot="1">
      <c r="A26" s="959"/>
      <c r="B26" s="964"/>
      <c r="C26" s="1068"/>
      <c r="D26" s="1069"/>
      <c r="E26" s="1979" t="s">
        <v>1090</v>
      </c>
      <c r="F26" s="1980"/>
      <c r="G26" s="1980"/>
      <c r="H26" s="1980"/>
      <c r="I26" s="1980"/>
      <c r="J26" s="1981"/>
      <c r="K26" s="959"/>
      <c r="L26" s="959"/>
      <c r="M26" s="959"/>
      <c r="N26" s="959"/>
      <c r="O26" s="959"/>
      <c r="P26" s="959"/>
      <c r="Q26" s="959"/>
      <c r="R26" s="959"/>
      <c r="S26" s="959"/>
      <c r="T26" s="959"/>
      <c r="U26" s="959"/>
      <c r="V26" s="959"/>
      <c r="W26" s="959"/>
      <c r="X26" s="959"/>
      <c r="Y26" s="959"/>
    </row>
    <row r="27" spans="1:28" ht="16.5" thickBot="1">
      <c r="A27" s="959"/>
      <c r="B27" s="983" t="s">
        <v>702</v>
      </c>
      <c r="C27" s="1048"/>
      <c r="D27" s="1070"/>
      <c r="E27" s="969" t="s">
        <v>1110</v>
      </c>
      <c r="F27" s="970" t="s">
        <v>1111</v>
      </c>
      <c r="G27" s="970" t="s">
        <v>1112</v>
      </c>
      <c r="H27" s="970" t="s">
        <v>1113</v>
      </c>
      <c r="I27" s="972" t="s">
        <v>1174</v>
      </c>
      <c r="J27" s="971" t="s">
        <v>1114</v>
      </c>
      <c r="K27" s="959"/>
      <c r="L27" s="959"/>
      <c r="M27" s="959"/>
      <c r="N27" s="959"/>
      <c r="O27" s="959"/>
      <c r="P27" s="959"/>
      <c r="Q27" s="959"/>
      <c r="R27" s="959"/>
      <c r="S27" s="959"/>
      <c r="T27" s="959"/>
      <c r="U27" s="959"/>
      <c r="V27" s="959"/>
      <c r="W27" s="959"/>
      <c r="X27" s="959"/>
      <c r="Y27" s="959"/>
    </row>
    <row r="28" spans="1:28" ht="50.25" customHeight="1">
      <c r="A28" s="959"/>
      <c r="B28" s="973" t="s">
        <v>1115</v>
      </c>
      <c r="C28" s="973"/>
      <c r="D28" s="1051"/>
      <c r="E28" s="975" t="str">
        <f>'Att 9b - 2024 True-up'!AC7</f>
        <v>UAMPS</v>
      </c>
      <c r="F28" s="976" t="str">
        <f>'Att 9b - 2024 True-up'!AD7</f>
        <v>UMPA</v>
      </c>
      <c r="G28" s="976" t="str">
        <f>'Att 9b - 2024 True-up'!AE7</f>
        <v>Deseret</v>
      </c>
      <c r="H28" s="976" t="str">
        <f>'Att 9b - 2024 True-up'!AF7</f>
        <v>Western Area Power Administration</v>
      </c>
      <c r="I28" s="976"/>
      <c r="J28" s="978"/>
      <c r="K28" s="959"/>
      <c r="L28" s="959"/>
      <c r="M28" s="959"/>
      <c r="N28" s="959"/>
      <c r="O28" s="959"/>
      <c r="P28" s="959"/>
      <c r="Q28" s="959"/>
      <c r="R28" s="959"/>
      <c r="S28" s="959"/>
      <c r="T28" s="959"/>
      <c r="U28" s="959"/>
      <c r="V28" s="959"/>
      <c r="W28" s="959"/>
      <c r="X28" s="959"/>
      <c r="Y28" s="959"/>
    </row>
    <row r="29" spans="1:28" ht="15.75">
      <c r="A29" s="959"/>
      <c r="B29" s="979" t="s">
        <v>1120</v>
      </c>
      <c r="C29" s="979"/>
      <c r="D29" s="1054"/>
      <c r="E29" s="981" t="str">
        <f>'Att 9b - 2024 True-up'!AC8</f>
        <v>OS</v>
      </c>
      <c r="F29" s="977" t="str">
        <f>'Att 9b - 2024 True-up'!AD8</f>
        <v>OS</v>
      </c>
      <c r="G29" s="977" t="str">
        <f>'Att 9b - 2024 True-up'!AE8</f>
        <v>OS</v>
      </c>
      <c r="H29" s="977" t="str">
        <f>'Att 9b - 2024 True-up'!AF8</f>
        <v>OS</v>
      </c>
      <c r="I29" s="977"/>
      <c r="J29" s="978" t="s">
        <v>1125</v>
      </c>
      <c r="K29" s="959"/>
      <c r="L29" s="959"/>
      <c r="M29" s="959"/>
      <c r="N29" s="959"/>
      <c r="O29" s="959"/>
      <c r="P29" s="959"/>
      <c r="Q29" s="959"/>
      <c r="R29" s="959"/>
      <c r="S29" s="959"/>
      <c r="T29" s="959"/>
      <c r="U29" s="959"/>
      <c r="V29" s="959"/>
      <c r="W29" s="959"/>
      <c r="X29" s="959"/>
      <c r="Y29" s="959"/>
    </row>
    <row r="30" spans="1:28" ht="16.5" thickBot="1">
      <c r="A30" s="959"/>
      <c r="B30" s="983" t="s">
        <v>1126</v>
      </c>
      <c r="C30" s="1057" t="s">
        <v>1170</v>
      </c>
      <c r="D30" s="1057" t="s">
        <v>1171</v>
      </c>
      <c r="E30" s="984" t="str">
        <f>'Att 9b - 2024 True-up'!AC9</f>
        <v>RS 297</v>
      </c>
      <c r="F30" s="985" t="str">
        <f>'Att 9b - 2024 True-up'!AD9</f>
        <v>RS 637</v>
      </c>
      <c r="G30" s="985" t="str">
        <f>'Att 9b - 2024 True-up'!AE9</f>
        <v>RS 280</v>
      </c>
      <c r="H30" s="985" t="str">
        <f>'Att 9b - 2024 True-up'!AF9</f>
        <v>RS 262/263</v>
      </c>
      <c r="I30" s="985"/>
      <c r="J30" s="986"/>
      <c r="K30" s="959"/>
      <c r="L30" s="959"/>
      <c r="M30" s="959"/>
      <c r="N30" s="959"/>
      <c r="O30" s="959"/>
      <c r="P30" s="959"/>
      <c r="Q30" s="959"/>
      <c r="R30" s="959"/>
      <c r="S30" s="959"/>
      <c r="T30" s="959"/>
      <c r="U30" s="959"/>
      <c r="V30" s="959"/>
      <c r="W30" s="959"/>
      <c r="X30" s="959"/>
      <c r="Y30" s="959"/>
    </row>
    <row r="31" spans="1:28" ht="15.75">
      <c r="A31" s="959"/>
      <c r="B31" s="967" t="s">
        <v>976</v>
      </c>
      <c r="C31" s="1060">
        <f t="shared" ref="C31:D42" si="2">C10</f>
        <v>16</v>
      </c>
      <c r="D31" s="1512">
        <f t="shared" si="2"/>
        <v>0.33333333333333331</v>
      </c>
      <c r="E31" s="988">
        <f>'Att 9b - 2024 True-up'!AC10</f>
        <v>491.45600000000002</v>
      </c>
      <c r="F31" s="989">
        <f>'Att 9b - 2024 True-up'!AD10</f>
        <v>56.808999999999997</v>
      </c>
      <c r="G31" s="989">
        <f>'Att 9b - 2024 True-up'!AE10</f>
        <v>100.26599999999999</v>
      </c>
      <c r="H31" s="989">
        <f>'Att 9b - 2024 True-up'!AF10</f>
        <v>305</v>
      </c>
      <c r="I31" s="990"/>
      <c r="J31" s="991">
        <f t="shared" ref="J31:J42" si="3">SUM(E31:I31)</f>
        <v>953.53099999999995</v>
      </c>
      <c r="K31" s="959"/>
      <c r="L31" s="959"/>
      <c r="M31" s="959"/>
      <c r="N31" s="959"/>
      <c r="O31" s="959"/>
      <c r="P31" s="959"/>
      <c r="Q31" s="959"/>
      <c r="R31" s="1043"/>
      <c r="S31" s="959"/>
      <c r="T31" s="1044"/>
      <c r="U31" s="959"/>
      <c r="V31" s="959"/>
      <c r="W31" s="959"/>
      <c r="X31" s="959"/>
      <c r="Y31" s="959"/>
    </row>
    <row r="32" spans="1:28" ht="15.75">
      <c r="A32" s="959"/>
      <c r="B32" s="967" t="s">
        <v>977</v>
      </c>
      <c r="C32" s="1060">
        <f t="shared" si="2"/>
        <v>13</v>
      </c>
      <c r="D32" s="1512">
        <f t="shared" si="2"/>
        <v>0.33333333333333331</v>
      </c>
      <c r="E32" s="995">
        <f>'Att 9b - 2024 True-up'!AC11</f>
        <v>443.87</v>
      </c>
      <c r="F32" s="996">
        <f>'Att 9b - 2024 True-up'!AD11</f>
        <v>46.372</v>
      </c>
      <c r="G32" s="996">
        <f>'Att 9b - 2024 True-up'!AE11</f>
        <v>114.5</v>
      </c>
      <c r="H32" s="996">
        <f>'Att 9b - 2024 True-up'!AF11</f>
        <v>255</v>
      </c>
      <c r="I32" s="997"/>
      <c r="J32" s="991">
        <f t="shared" si="3"/>
        <v>859.74199999999996</v>
      </c>
      <c r="K32" s="959"/>
      <c r="L32" s="959"/>
      <c r="M32" s="959"/>
      <c r="N32" s="959"/>
      <c r="O32" s="959"/>
      <c r="P32" s="959"/>
      <c r="Q32" s="959"/>
      <c r="R32" s="1043"/>
      <c r="S32" s="959"/>
      <c r="T32" s="959"/>
      <c r="U32" s="959"/>
      <c r="V32" s="959"/>
      <c r="W32" s="959"/>
      <c r="X32" s="959"/>
      <c r="Y32" s="959"/>
    </row>
    <row r="33" spans="1:25" ht="15.75">
      <c r="A33" s="959"/>
      <c r="B33" s="967" t="s">
        <v>795</v>
      </c>
      <c r="C33" s="1060">
        <f t="shared" si="2"/>
        <v>4</v>
      </c>
      <c r="D33" s="1512">
        <f t="shared" si="2"/>
        <v>0.33333333333333331</v>
      </c>
      <c r="E33" s="995">
        <f>'Att 9b - 2024 True-up'!AC12</f>
        <v>431.06799999999998</v>
      </c>
      <c r="F33" s="996">
        <f>'Att 9b - 2024 True-up'!AD12</f>
        <v>43.402000000000001</v>
      </c>
      <c r="G33" s="996">
        <f>'Att 9b - 2024 True-up'!AE12</f>
        <v>85.510999999999996</v>
      </c>
      <c r="H33" s="996">
        <f>'Att 9b - 2024 True-up'!AF12</f>
        <v>260</v>
      </c>
      <c r="I33" s="997"/>
      <c r="J33" s="991">
        <f t="shared" si="3"/>
        <v>819.98099999999999</v>
      </c>
      <c r="K33" s="959"/>
      <c r="L33" s="959"/>
      <c r="M33" s="959"/>
      <c r="N33" s="959"/>
      <c r="O33" s="959"/>
      <c r="P33" s="959"/>
      <c r="Q33" s="959"/>
      <c r="R33" s="959"/>
      <c r="S33" s="959"/>
      <c r="T33" s="959"/>
      <c r="U33" s="959"/>
      <c r="V33" s="959"/>
      <c r="W33" s="959"/>
      <c r="X33" s="959"/>
      <c r="Y33" s="959"/>
    </row>
    <row r="34" spans="1:25" ht="15.75">
      <c r="A34" s="959"/>
      <c r="B34" s="967" t="s">
        <v>796</v>
      </c>
      <c r="C34" s="1060">
        <f t="shared" si="2"/>
        <v>8</v>
      </c>
      <c r="D34" s="1512">
        <f t="shared" si="2"/>
        <v>0.33333333333333331</v>
      </c>
      <c r="E34" s="995">
        <f>'Att 9b - 2024 True-up'!AC13</f>
        <v>370.66199999999998</v>
      </c>
      <c r="F34" s="996">
        <f>'Att 9b - 2024 True-up'!AD13</f>
        <v>17.145</v>
      </c>
      <c r="G34" s="996">
        <f>'Att 9b - 2024 True-up'!AE13</f>
        <v>116.48699999999999</v>
      </c>
      <c r="H34" s="996">
        <f>'Att 9b - 2024 True-up'!AF13</f>
        <v>288</v>
      </c>
      <c r="I34" s="997"/>
      <c r="J34" s="991">
        <f t="shared" si="3"/>
        <v>792.29399999999998</v>
      </c>
      <c r="K34" s="959"/>
      <c r="L34" s="959"/>
      <c r="M34" s="959"/>
      <c r="N34" s="959"/>
      <c r="O34" s="959"/>
      <c r="P34" s="959"/>
      <c r="Q34" s="959"/>
      <c r="R34" s="1006"/>
      <c r="S34" s="959"/>
      <c r="T34" s="959"/>
      <c r="U34" s="959"/>
      <c r="V34" s="959"/>
      <c r="W34" s="959"/>
      <c r="X34" s="959"/>
      <c r="Y34" s="959"/>
    </row>
    <row r="35" spans="1:25" ht="15.75">
      <c r="A35" s="959"/>
      <c r="B35" s="967" t="s">
        <v>797</v>
      </c>
      <c r="C35" s="1060">
        <f t="shared" si="2"/>
        <v>28</v>
      </c>
      <c r="D35" s="1512">
        <f t="shared" si="2"/>
        <v>0.75</v>
      </c>
      <c r="E35" s="995">
        <f>'Att 9b - 2024 True-up'!AC14</f>
        <v>582.77700000000004</v>
      </c>
      <c r="F35" s="996">
        <f>'Att 9b - 2024 True-up'!AD14</f>
        <v>61.774000000000001</v>
      </c>
      <c r="G35" s="996">
        <f>'Att 9b - 2024 True-up'!AE14</f>
        <v>145.19999999999999</v>
      </c>
      <c r="H35" s="996">
        <f>'Att 9b - 2024 True-up'!AF14</f>
        <v>284</v>
      </c>
      <c r="I35" s="997"/>
      <c r="J35" s="991">
        <f t="shared" si="3"/>
        <v>1073.751</v>
      </c>
      <c r="K35" s="959"/>
      <c r="L35" s="959"/>
      <c r="M35" s="959"/>
      <c r="N35" s="959"/>
      <c r="O35" s="959"/>
      <c r="P35" s="959"/>
      <c r="Q35" s="959"/>
      <c r="R35" s="1044"/>
      <c r="S35" s="959"/>
      <c r="T35" s="959"/>
      <c r="U35" s="959"/>
      <c r="V35" s="959"/>
      <c r="W35" s="959"/>
      <c r="X35" s="959"/>
      <c r="Y35" s="959"/>
    </row>
    <row r="36" spans="1:25" ht="15.75">
      <c r="A36" s="959"/>
      <c r="B36" s="967" t="s">
        <v>980</v>
      </c>
      <c r="C36" s="1060">
        <f t="shared" si="2"/>
        <v>25</v>
      </c>
      <c r="D36" s="1512">
        <f t="shared" si="2"/>
        <v>0.75</v>
      </c>
      <c r="E36" s="995">
        <f>'Att 9b - 2024 True-up'!AC15</f>
        <v>921.54399999999998</v>
      </c>
      <c r="F36" s="996">
        <f>'Att 9b - 2024 True-up'!AD15</f>
        <v>164.91499999999999</v>
      </c>
      <c r="G36" s="996">
        <f>'Att 9b - 2024 True-up'!AE15</f>
        <v>220.94499999999999</v>
      </c>
      <c r="H36" s="996">
        <f>'Att 9b - 2024 True-up'!AF15</f>
        <v>267</v>
      </c>
      <c r="I36" s="997"/>
      <c r="J36" s="991">
        <f t="shared" si="3"/>
        <v>1574.404</v>
      </c>
      <c r="K36" s="959"/>
      <c r="L36" s="959"/>
      <c r="M36" s="959"/>
      <c r="N36" s="959"/>
      <c r="O36" s="959"/>
      <c r="P36" s="959"/>
      <c r="Q36" s="959"/>
      <c r="R36" s="959"/>
      <c r="S36" s="959"/>
      <c r="T36" s="959"/>
      <c r="U36" s="959"/>
      <c r="V36" s="959"/>
      <c r="W36" s="959"/>
      <c r="X36" s="959"/>
      <c r="Y36" s="959"/>
    </row>
    <row r="37" spans="1:25" ht="15.75">
      <c r="A37" s="959"/>
      <c r="B37" s="967" t="s">
        <v>1131</v>
      </c>
      <c r="C37" s="1060">
        <f t="shared" si="2"/>
        <v>10</v>
      </c>
      <c r="D37" s="1512">
        <f t="shared" si="2"/>
        <v>0.70833333333333337</v>
      </c>
      <c r="E37" s="995">
        <f>'Att 9b - 2024 True-up'!AC16</f>
        <v>968.8</v>
      </c>
      <c r="F37" s="996">
        <f>'Att 9b - 2024 True-up'!AD16</f>
        <v>160.08600000000001</v>
      </c>
      <c r="G37" s="996">
        <f>'Att 9b - 2024 True-up'!AE16</f>
        <v>226.95599999999999</v>
      </c>
      <c r="H37" s="996">
        <f>'Att 9b - 2024 True-up'!AF16</f>
        <v>306</v>
      </c>
      <c r="I37" s="997"/>
      <c r="J37" s="991">
        <f t="shared" si="3"/>
        <v>1661.8419999999999</v>
      </c>
      <c r="K37" s="959"/>
      <c r="L37" s="959"/>
      <c r="M37" s="959"/>
      <c r="N37" s="959"/>
      <c r="O37" s="959"/>
      <c r="P37" s="959"/>
      <c r="Q37" s="959"/>
      <c r="R37" s="959"/>
      <c r="S37" s="959"/>
      <c r="T37" s="959"/>
      <c r="U37" s="959"/>
      <c r="V37" s="959"/>
      <c r="W37" s="959"/>
      <c r="X37" s="959"/>
      <c r="Y37" s="959"/>
    </row>
    <row r="38" spans="1:25" ht="15.75">
      <c r="A38" s="959"/>
      <c r="B38" s="967" t="s">
        <v>982</v>
      </c>
      <c r="C38" s="1060">
        <f t="shared" si="2"/>
        <v>6</v>
      </c>
      <c r="D38" s="1512">
        <f t="shared" si="2"/>
        <v>0.70833333333333337</v>
      </c>
      <c r="E38" s="995">
        <f>'Att 9b - 2024 True-up'!AC17</f>
        <v>1003.289</v>
      </c>
      <c r="F38" s="996">
        <f>'Att 9b - 2024 True-up'!AD17</f>
        <v>183.11</v>
      </c>
      <c r="G38" s="996">
        <f>'Att 9b - 2024 True-up'!AE17</f>
        <v>226.13499999999999</v>
      </c>
      <c r="H38" s="996">
        <f>'Att 9b - 2024 True-up'!AF17</f>
        <v>293</v>
      </c>
      <c r="I38" s="997"/>
      <c r="J38" s="991">
        <f t="shared" si="3"/>
        <v>1705.5339999999999</v>
      </c>
      <c r="K38" s="959"/>
      <c r="L38" s="959"/>
      <c r="M38" s="959"/>
      <c r="N38" s="959"/>
      <c r="O38" s="959"/>
      <c r="P38" s="959"/>
      <c r="Q38" s="959"/>
      <c r="R38" s="959"/>
      <c r="S38" s="959"/>
      <c r="T38" s="959"/>
      <c r="U38" s="959"/>
      <c r="V38" s="959"/>
      <c r="W38" s="959"/>
      <c r="X38" s="959"/>
      <c r="Y38" s="959"/>
    </row>
    <row r="39" spans="1:25" ht="15.75">
      <c r="A39" s="959"/>
      <c r="B39" s="967" t="s">
        <v>1132</v>
      </c>
      <c r="C39" s="1060">
        <f t="shared" si="2"/>
        <v>6</v>
      </c>
      <c r="D39" s="1512">
        <f t="shared" si="2"/>
        <v>0.70833333333333337</v>
      </c>
      <c r="E39" s="995">
        <f>'Att 9b - 2024 True-up'!AC18</f>
        <v>749.30100000000004</v>
      </c>
      <c r="F39" s="996">
        <f>'Att 9b - 2024 True-up'!AD18</f>
        <v>107.554</v>
      </c>
      <c r="G39" s="996">
        <f>'Att 9b - 2024 True-up'!AE18</f>
        <v>189.92699999999999</v>
      </c>
      <c r="H39" s="996">
        <f>'Att 9b - 2024 True-up'!AF18</f>
        <v>284</v>
      </c>
      <c r="I39" s="997"/>
      <c r="J39" s="991">
        <f t="shared" si="3"/>
        <v>1330.7819999999999</v>
      </c>
      <c r="K39" s="959"/>
      <c r="L39" s="959"/>
      <c r="M39" s="959"/>
      <c r="N39" s="959"/>
      <c r="O39" s="959"/>
      <c r="P39" s="959"/>
      <c r="Q39" s="959"/>
      <c r="R39" s="959"/>
      <c r="S39" s="959"/>
      <c r="T39" s="959"/>
      <c r="U39" s="959"/>
      <c r="V39" s="959"/>
      <c r="W39" s="959"/>
      <c r="X39" s="959"/>
      <c r="Y39" s="959"/>
    </row>
    <row r="40" spans="1:25" ht="15.75">
      <c r="A40" s="959"/>
      <c r="B40" s="967" t="s">
        <v>984</v>
      </c>
      <c r="C40" s="1060">
        <f t="shared" si="2"/>
        <v>9</v>
      </c>
      <c r="D40" s="1512">
        <f t="shared" si="2"/>
        <v>0.70833333333333337</v>
      </c>
      <c r="E40" s="995">
        <f>'Att 9b - 2024 True-up'!AC19</f>
        <v>606.84400000000005</v>
      </c>
      <c r="F40" s="996">
        <f>'Att 9b - 2024 True-up'!AD19</f>
        <v>94.350999999999999</v>
      </c>
      <c r="G40" s="996">
        <f>'Att 9b - 2024 True-up'!AE19</f>
        <v>164.589</v>
      </c>
      <c r="H40" s="996">
        <f>'Att 9b - 2024 True-up'!AF19</f>
        <v>234</v>
      </c>
      <c r="I40" s="997"/>
      <c r="J40" s="991">
        <f t="shared" si="3"/>
        <v>1099.7840000000001</v>
      </c>
      <c r="K40" s="959"/>
      <c r="L40" s="959"/>
      <c r="M40" s="959"/>
      <c r="N40" s="959"/>
      <c r="O40" s="959"/>
      <c r="P40" s="959"/>
      <c r="Q40" s="959"/>
      <c r="R40" s="959"/>
      <c r="S40" s="959"/>
      <c r="T40" s="959"/>
      <c r="U40" s="959"/>
      <c r="V40" s="959"/>
      <c r="W40" s="959"/>
      <c r="X40" s="959"/>
      <c r="Y40" s="959"/>
    </row>
    <row r="41" spans="1:25" ht="15.75">
      <c r="A41" s="959"/>
      <c r="B41" s="967" t="s">
        <v>985</v>
      </c>
      <c r="C41" s="1060">
        <f t="shared" si="2"/>
        <v>19</v>
      </c>
      <c r="D41" s="1512">
        <f t="shared" si="2"/>
        <v>0.75</v>
      </c>
      <c r="E41" s="995">
        <f>'Att 9b - 2024 True-up'!AC20</f>
        <v>372.30099999999999</v>
      </c>
      <c r="F41" s="996">
        <f>'Att 9b - 2024 True-up'!AD20</f>
        <v>44.962000000000003</v>
      </c>
      <c r="G41" s="996">
        <f>'Att 9b - 2024 True-up'!AE20</f>
        <v>75.313000000000002</v>
      </c>
      <c r="H41" s="996">
        <f>'Att 9b - 2024 True-up'!AF20</f>
        <v>335</v>
      </c>
      <c r="I41" s="997"/>
      <c r="J41" s="991">
        <f t="shared" si="3"/>
        <v>827.57600000000002</v>
      </c>
      <c r="K41" s="959"/>
      <c r="L41" s="959"/>
      <c r="M41" s="959"/>
      <c r="N41" s="959"/>
      <c r="O41" s="959"/>
      <c r="P41" s="959"/>
      <c r="Q41" s="959"/>
      <c r="R41" s="959"/>
      <c r="S41" s="959"/>
      <c r="T41" s="959"/>
      <c r="U41" s="959"/>
      <c r="V41" s="959"/>
      <c r="W41" s="959"/>
      <c r="X41" s="959"/>
      <c r="Y41" s="959"/>
    </row>
    <row r="42" spans="1:25" ht="16.5" thickBot="1">
      <c r="A42" s="959"/>
      <c r="B42" s="983" t="s">
        <v>986</v>
      </c>
      <c r="C42" s="1541">
        <f t="shared" si="2"/>
        <v>10</v>
      </c>
      <c r="D42" s="1512">
        <f t="shared" si="2"/>
        <v>0.33333333333333331</v>
      </c>
      <c r="E42" s="999">
        <f>'Att 9b - 2024 True-up'!AC21</f>
        <v>448.69099999999997</v>
      </c>
      <c r="F42" s="1000">
        <f>'Att 9b - 2024 True-up'!AD21</f>
        <v>138.166</v>
      </c>
      <c r="G42" s="1000">
        <f>'Att 9b - 2024 True-up'!AE21</f>
        <v>167.65</v>
      </c>
      <c r="H42" s="1000">
        <f>'Att 9b - 2024 True-up'!AF21</f>
        <v>204</v>
      </c>
      <c r="I42" s="1001"/>
      <c r="J42" s="986">
        <f t="shared" si="3"/>
        <v>958.50699999999995</v>
      </c>
      <c r="K42" s="959"/>
      <c r="L42" s="959"/>
      <c r="M42" s="959"/>
      <c r="N42" s="959"/>
      <c r="O42" s="959"/>
      <c r="P42" s="959"/>
      <c r="Q42" s="959"/>
      <c r="R42" s="959"/>
      <c r="S42" s="959"/>
      <c r="T42" s="959"/>
      <c r="U42" s="959"/>
      <c r="V42" s="959"/>
      <c r="W42" s="959"/>
      <c r="X42" s="959"/>
      <c r="Y42" s="959"/>
    </row>
    <row r="43" spans="1:25" ht="16.5" thickBot="1">
      <c r="A43" s="959"/>
      <c r="B43" s="1002" t="s">
        <v>111</v>
      </c>
      <c r="C43" s="1065"/>
      <c r="D43" s="1066"/>
      <c r="E43" s="1004">
        <f t="shared" ref="E43:J43" si="4">SUM(E31:E42)</f>
        <v>7390.6030000000001</v>
      </c>
      <c r="F43" s="1005">
        <f t="shared" si="4"/>
        <v>1118.646</v>
      </c>
      <c r="G43" s="1005">
        <f t="shared" si="4"/>
        <v>1833.479</v>
      </c>
      <c r="H43" s="1005">
        <f t="shared" si="4"/>
        <v>3315</v>
      </c>
      <c r="I43" s="1005"/>
      <c r="J43" s="986">
        <f t="shared" si="4"/>
        <v>13657.727999999997</v>
      </c>
      <c r="K43" s="959"/>
      <c r="L43" s="959"/>
      <c r="M43" s="959"/>
      <c r="N43" s="959"/>
      <c r="O43" s="959"/>
      <c r="P43" s="959"/>
      <c r="Q43" s="959"/>
      <c r="R43" s="959"/>
      <c r="S43" s="959"/>
      <c r="T43" s="959"/>
      <c r="U43" s="959"/>
      <c r="V43" s="959"/>
      <c r="W43" s="959"/>
      <c r="X43" s="959"/>
      <c r="Y43" s="959"/>
    </row>
  </sheetData>
  <mergeCells count="5">
    <mergeCell ref="E26:J26"/>
    <mergeCell ref="E5:AA5"/>
    <mergeCell ref="B5:D6"/>
    <mergeCell ref="B1:AA1"/>
    <mergeCell ref="B2:AA2"/>
  </mergeCells>
  <phoneticPr fontId="135" type="noConversion"/>
  <pageMargins left="0.7" right="0.7" top="0.75" bottom="0.75" header="0.3" footer="0.3"/>
  <pageSetup scale="39"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A43"/>
  <sheetViews>
    <sheetView zoomScaleNormal="100" workbookViewId="0">
      <selection activeCell="Q3" sqref="Q3"/>
    </sheetView>
  </sheetViews>
  <sheetFormatPr defaultRowHeight="15"/>
  <cols>
    <col min="1" max="1" width="4.7109375" customWidth="1"/>
    <col min="2" max="2" width="14.28515625" customWidth="1"/>
    <col min="3" max="3" width="6" customWidth="1"/>
    <col min="4" max="4" width="7.5703125" bestFit="1" customWidth="1"/>
    <col min="5" max="5" width="13.7109375" customWidth="1"/>
    <col min="6" max="7" width="11.5703125" customWidth="1"/>
    <col min="8" max="8" width="17" customWidth="1"/>
    <col min="9" max="19" width="11.5703125" customWidth="1"/>
    <col min="20" max="20" width="15.140625" customWidth="1"/>
    <col min="21" max="21" width="11.7109375" customWidth="1"/>
    <col min="22" max="23" width="13.42578125" customWidth="1"/>
    <col min="24" max="24" width="15.28515625" customWidth="1"/>
    <col min="25" max="25" width="11.7109375" hidden="1" customWidth="1"/>
  </cols>
  <sheetData>
    <row r="1" spans="1:27" ht="15.75">
      <c r="A1" s="956"/>
      <c r="B1" s="1967" t="s">
        <v>2</v>
      </c>
      <c r="C1" s="1967"/>
      <c r="D1" s="1967"/>
      <c r="E1" s="1967"/>
      <c r="F1" s="1967"/>
      <c r="G1" s="1967"/>
      <c r="H1" s="1967"/>
      <c r="I1" s="1967"/>
      <c r="J1" s="1967"/>
      <c r="K1" s="1967"/>
      <c r="L1" s="1967"/>
      <c r="M1" s="1967"/>
      <c r="N1" s="1967"/>
      <c r="O1" s="1967"/>
      <c r="P1" s="1967"/>
      <c r="Q1" s="1967"/>
      <c r="R1" s="1967"/>
      <c r="S1" s="1967"/>
      <c r="T1" s="1968"/>
      <c r="U1" s="1968"/>
      <c r="V1" s="1968"/>
      <c r="W1" s="1968"/>
      <c r="X1" s="1968"/>
      <c r="Y1" s="1968"/>
      <c r="Z1" s="1968"/>
    </row>
    <row r="2" spans="1:27" ht="15.75">
      <c r="A2" s="1046"/>
      <c r="B2" s="1988" t="s">
        <v>1172</v>
      </c>
      <c r="C2" s="1988"/>
      <c r="D2" s="1988"/>
      <c r="E2" s="1988"/>
      <c r="F2" s="1988"/>
      <c r="G2" s="1988"/>
      <c r="H2" s="1988"/>
      <c r="I2" s="1988"/>
      <c r="J2" s="1988"/>
      <c r="K2" s="1988"/>
      <c r="L2" s="1988"/>
      <c r="M2" s="1988"/>
      <c r="N2" s="1988"/>
      <c r="O2" s="1988"/>
      <c r="P2" s="1988"/>
      <c r="Q2" s="1988"/>
      <c r="R2" s="1988"/>
      <c r="S2" s="1988"/>
      <c r="T2" s="1968"/>
      <c r="U2" s="1968"/>
      <c r="V2" s="1968"/>
      <c r="W2" s="1968"/>
      <c r="X2" s="1968"/>
      <c r="Y2" s="1968"/>
      <c r="Z2" s="1968"/>
    </row>
    <row r="3" spans="1:27" ht="15.75">
      <c r="A3" s="956"/>
      <c r="B3" s="960"/>
      <c r="C3" s="957"/>
      <c r="D3" s="957"/>
      <c r="E3" s="309"/>
      <c r="F3" s="309"/>
      <c r="G3" s="309"/>
      <c r="H3" s="309"/>
      <c r="I3" s="309"/>
      <c r="J3" s="957"/>
      <c r="L3" s="958"/>
      <c r="N3" s="1047">
        <v>2023</v>
      </c>
      <c r="O3" s="958"/>
      <c r="P3" s="958"/>
      <c r="Q3" s="958"/>
      <c r="R3" s="958"/>
      <c r="S3" s="958"/>
      <c r="T3" s="959"/>
      <c r="U3" s="958"/>
      <c r="V3" s="958"/>
      <c r="W3" s="958"/>
      <c r="X3" s="958"/>
      <c r="Y3" s="958"/>
      <c r="Z3" s="958"/>
    </row>
    <row r="4" spans="1:27" ht="16.5" thickBot="1">
      <c r="A4" s="959"/>
      <c r="B4" s="959"/>
      <c r="C4" s="1048"/>
      <c r="D4" s="1048"/>
      <c r="E4" s="959"/>
      <c r="F4" s="959"/>
      <c r="G4" s="959"/>
      <c r="H4" s="959"/>
      <c r="I4" s="959"/>
      <c r="J4" s="959"/>
      <c r="K4" s="959"/>
      <c r="L4" s="959"/>
      <c r="M4" s="959"/>
      <c r="N4" s="959"/>
      <c r="O4" s="959"/>
      <c r="P4" s="959"/>
      <c r="Q4" s="959"/>
      <c r="R4" s="959"/>
      <c r="S4" s="959"/>
      <c r="T4" s="959"/>
      <c r="U4" s="958"/>
      <c r="V4" s="958"/>
      <c r="W4" s="958"/>
      <c r="X4" s="958"/>
      <c r="Y4" s="958"/>
      <c r="Z4" s="958"/>
    </row>
    <row r="5" spans="1:27" ht="16.5" thickBot="1">
      <c r="A5" s="959"/>
      <c r="B5" s="1983" t="s">
        <v>1169</v>
      </c>
      <c r="C5" s="1989"/>
      <c r="D5" s="1989"/>
      <c r="E5" s="1989"/>
      <c r="F5" s="1989"/>
      <c r="G5" s="1989"/>
      <c r="H5" s="1989"/>
      <c r="I5" s="1989"/>
      <c r="J5" s="1989"/>
      <c r="K5" s="1989"/>
      <c r="L5" s="1989"/>
      <c r="M5" s="1989"/>
      <c r="N5" s="1989"/>
      <c r="O5" s="1989"/>
      <c r="P5" s="1989"/>
      <c r="Q5" s="1989"/>
      <c r="R5" s="1989"/>
      <c r="S5" s="1989"/>
      <c r="T5" s="1989"/>
      <c r="U5" s="1989"/>
      <c r="V5" s="1989"/>
      <c r="W5" s="1989"/>
      <c r="X5" s="1989"/>
      <c r="Y5" s="1989"/>
      <c r="Z5" s="1990"/>
    </row>
    <row r="6" spans="1:27" ht="16.5" thickBot="1">
      <c r="A6" s="959"/>
      <c r="B6" s="967" t="s">
        <v>702</v>
      </c>
      <c r="C6" s="959"/>
      <c r="D6" s="959"/>
      <c r="E6" s="1045" t="s">
        <v>1091</v>
      </c>
      <c r="F6" s="1049" t="s">
        <v>1092</v>
      </c>
      <c r="G6" s="1050" t="s">
        <v>1093</v>
      </c>
      <c r="H6" s="1050" t="s">
        <v>1094</v>
      </c>
      <c r="I6" s="1050" t="s">
        <v>1095</v>
      </c>
      <c r="J6" s="1050" t="s">
        <v>1096</v>
      </c>
      <c r="K6" s="1050" t="s">
        <v>1097</v>
      </c>
      <c r="L6" s="1050" t="s">
        <v>1098</v>
      </c>
      <c r="M6" s="1050" t="s">
        <v>1099</v>
      </c>
      <c r="N6" s="1050" t="s">
        <v>1100</v>
      </c>
      <c r="O6" s="1050" t="s">
        <v>1101</v>
      </c>
      <c r="P6" s="1050" t="s">
        <v>1102</v>
      </c>
      <c r="Q6" s="1050" t="s">
        <v>1103</v>
      </c>
      <c r="R6" s="1050" t="s">
        <v>1104</v>
      </c>
      <c r="S6" s="1050" t="s">
        <v>1105</v>
      </c>
      <c r="T6" s="1050" t="s">
        <v>1106</v>
      </c>
      <c r="U6" s="1050" t="s">
        <v>1107</v>
      </c>
      <c r="V6" s="1050" t="s">
        <v>1108</v>
      </c>
      <c r="W6" s="1050" t="s">
        <v>1572</v>
      </c>
      <c r="X6" s="1050" t="s">
        <v>1796</v>
      </c>
      <c r="Y6" s="1050"/>
      <c r="Z6" s="971" t="s">
        <v>1109</v>
      </c>
      <c r="AA6" s="959"/>
    </row>
    <row r="7" spans="1:27" ht="63">
      <c r="A7" s="959"/>
      <c r="B7" s="973" t="s">
        <v>1115</v>
      </c>
      <c r="C7" s="973"/>
      <c r="D7" s="1051"/>
      <c r="E7" s="1052" t="s">
        <v>2</v>
      </c>
      <c r="F7" s="975" t="s">
        <v>2336</v>
      </c>
      <c r="G7" s="976" t="s">
        <v>2337</v>
      </c>
      <c r="H7" s="976" t="s">
        <v>2338</v>
      </c>
      <c r="I7" s="976" t="s">
        <v>2339</v>
      </c>
      <c r="J7" s="976" t="s">
        <v>2340</v>
      </c>
      <c r="K7" s="976" t="s">
        <v>2341</v>
      </c>
      <c r="L7" s="976" t="s">
        <v>2342</v>
      </c>
      <c r="M7" s="976" t="s">
        <v>2343</v>
      </c>
      <c r="N7" s="976" t="s">
        <v>2344</v>
      </c>
      <c r="O7" s="976" t="s">
        <v>2345</v>
      </c>
      <c r="P7" s="976" t="s">
        <v>2346</v>
      </c>
      <c r="Q7" s="976" t="s">
        <v>2424</v>
      </c>
      <c r="R7" s="976" t="s">
        <v>2348</v>
      </c>
      <c r="S7" s="976" t="s">
        <v>2349</v>
      </c>
      <c r="T7" s="976" t="s">
        <v>2350</v>
      </c>
      <c r="U7" s="976" t="s">
        <v>2351</v>
      </c>
      <c r="V7" s="976" t="s">
        <v>2352</v>
      </c>
      <c r="W7" s="976" t="s">
        <v>2353</v>
      </c>
      <c r="X7" s="976" t="s">
        <v>2354</v>
      </c>
      <c r="Y7" s="976"/>
      <c r="Z7" s="1053"/>
      <c r="AA7" s="959"/>
    </row>
    <row r="8" spans="1:27" ht="31.5">
      <c r="A8" s="959"/>
      <c r="B8" s="979" t="s">
        <v>1120</v>
      </c>
      <c r="C8" s="979"/>
      <c r="D8" s="1054"/>
      <c r="E8" s="1055" t="s">
        <v>1121</v>
      </c>
      <c r="F8" s="981" t="s">
        <v>1122</v>
      </c>
      <c r="G8" s="977" t="s">
        <v>1122</v>
      </c>
      <c r="H8" s="977" t="s">
        <v>1122</v>
      </c>
      <c r="I8" s="977" t="s">
        <v>1122</v>
      </c>
      <c r="J8" s="977" t="s">
        <v>1122</v>
      </c>
      <c r="K8" s="977" t="s">
        <v>1122</v>
      </c>
      <c r="L8" s="977" t="s">
        <v>1122</v>
      </c>
      <c r="M8" s="977" t="s">
        <v>1122</v>
      </c>
      <c r="N8" s="977" t="s">
        <v>1122</v>
      </c>
      <c r="O8" s="977" t="s">
        <v>1122</v>
      </c>
      <c r="P8" s="977" t="s">
        <v>1122</v>
      </c>
      <c r="Q8" s="977" t="s">
        <v>1122</v>
      </c>
      <c r="R8" s="977" t="s">
        <v>1122</v>
      </c>
      <c r="S8" s="977" t="s">
        <v>1122</v>
      </c>
      <c r="T8" s="977" t="s">
        <v>1122</v>
      </c>
      <c r="U8" s="977" t="s">
        <v>1122</v>
      </c>
      <c r="V8" s="977" t="s">
        <v>1122</v>
      </c>
      <c r="W8" s="977" t="s">
        <v>1122</v>
      </c>
      <c r="X8" s="977" t="s">
        <v>1122</v>
      </c>
      <c r="Y8" s="977"/>
      <c r="Z8" s="1056" t="s">
        <v>1123</v>
      </c>
      <c r="AA8" s="959"/>
    </row>
    <row r="9" spans="1:27" ht="16.5" thickBot="1">
      <c r="A9" s="959"/>
      <c r="B9" s="983" t="s">
        <v>1126</v>
      </c>
      <c r="C9" s="1057" t="s">
        <v>1170</v>
      </c>
      <c r="D9" s="1057" t="s">
        <v>1171</v>
      </c>
      <c r="E9" s="1058"/>
      <c r="F9" s="984" t="s">
        <v>2355</v>
      </c>
      <c r="G9" s="985" t="s">
        <v>2356</v>
      </c>
      <c r="H9" s="985" t="s">
        <v>2357</v>
      </c>
      <c r="I9" s="985" t="s">
        <v>2358</v>
      </c>
      <c r="J9" s="985" t="s">
        <v>2359</v>
      </c>
      <c r="K9" s="985" t="s">
        <v>2360</v>
      </c>
      <c r="L9" s="985" t="s">
        <v>2361</v>
      </c>
      <c r="M9" s="985" t="s">
        <v>2362</v>
      </c>
      <c r="N9" s="985" t="s">
        <v>2363</v>
      </c>
      <c r="O9" s="985" t="s">
        <v>2364</v>
      </c>
      <c r="P9" s="985" t="s">
        <v>2365</v>
      </c>
      <c r="Q9" s="985" t="s">
        <v>2425</v>
      </c>
      <c r="R9" s="985" t="s">
        <v>2367</v>
      </c>
      <c r="S9" s="985" t="s">
        <v>2368</v>
      </c>
      <c r="T9" s="985" t="s">
        <v>2369</v>
      </c>
      <c r="U9" s="985" t="s">
        <v>2370</v>
      </c>
      <c r="V9" s="985" t="s">
        <v>2371</v>
      </c>
      <c r="W9" s="985" t="s">
        <v>2372</v>
      </c>
      <c r="X9" s="985" t="s">
        <v>2373</v>
      </c>
      <c r="Y9" s="985"/>
      <c r="Z9" s="1059"/>
      <c r="AA9" s="959"/>
    </row>
    <row r="10" spans="1:27" ht="15.75">
      <c r="A10" s="959"/>
      <c r="B10" s="967" t="s">
        <v>976</v>
      </c>
      <c r="C10" s="1060">
        <v>30</v>
      </c>
      <c r="D10" s="1512">
        <v>0.33333333333333331</v>
      </c>
      <c r="E10" s="993">
        <v>8981.5120000000006</v>
      </c>
      <c r="F10" s="1061">
        <v>8.016</v>
      </c>
      <c r="G10" s="1062">
        <v>3.67</v>
      </c>
      <c r="H10" s="1062">
        <v>36.973999999999997</v>
      </c>
      <c r="I10" s="1062">
        <v>1.8220000000000001</v>
      </c>
      <c r="J10" s="1062">
        <v>7.9000000000000001E-2</v>
      </c>
      <c r="K10" s="1062">
        <v>5.2999999999999999E-2</v>
      </c>
      <c r="L10" s="1062">
        <v>9.9000000000000005E-2</v>
      </c>
      <c r="M10" s="1062">
        <v>1.0999999999999999E-2</v>
      </c>
      <c r="N10" s="1062">
        <v>20.625</v>
      </c>
      <c r="O10" s="1062">
        <v>17.2</v>
      </c>
      <c r="P10" s="1062">
        <v>12.619</v>
      </c>
      <c r="Q10" s="1062">
        <v>61.05</v>
      </c>
      <c r="R10" s="1062">
        <v>0</v>
      </c>
      <c r="S10" s="1062">
        <v>1.2E-2</v>
      </c>
      <c r="T10" s="1062">
        <v>34.713999999999999</v>
      </c>
      <c r="U10" s="1062">
        <v>0.54</v>
      </c>
      <c r="V10" s="1062">
        <v>400.61900000000003</v>
      </c>
      <c r="W10" s="1062">
        <v>112.175</v>
      </c>
      <c r="X10" s="1062">
        <v>2.72</v>
      </c>
      <c r="Y10" s="1837">
        <v>0</v>
      </c>
      <c r="Z10" s="991">
        <f t="shared" ref="Z10:Z22" si="0">SUM(F10:Y10)</f>
        <v>712.99800000000005</v>
      </c>
      <c r="AA10" s="959"/>
    </row>
    <row r="11" spans="1:27" ht="15.75">
      <c r="A11" s="959"/>
      <c r="B11" s="967" t="s">
        <v>977</v>
      </c>
      <c r="C11" s="1060">
        <v>2</v>
      </c>
      <c r="D11" s="1512">
        <v>0.33333333333333331</v>
      </c>
      <c r="E11" s="993">
        <v>8695.3629999999994</v>
      </c>
      <c r="F11" s="1063">
        <v>9.0079999999999991</v>
      </c>
      <c r="G11" s="994">
        <v>3.3879999999999999</v>
      </c>
      <c r="H11" s="994">
        <v>32.54</v>
      </c>
      <c r="I11" s="994">
        <v>1.5569999999999999</v>
      </c>
      <c r="J11" s="994">
        <v>0.57699999999999996</v>
      </c>
      <c r="K11" s="994">
        <v>3.2000000000000001E-2</v>
      </c>
      <c r="L11" s="994">
        <v>8.5999999999999993E-2</v>
      </c>
      <c r="M11" s="994">
        <v>0.01</v>
      </c>
      <c r="N11" s="994">
        <v>19.558</v>
      </c>
      <c r="O11" s="994">
        <v>17.012</v>
      </c>
      <c r="P11" s="994">
        <v>10.329000000000001</v>
      </c>
      <c r="Q11" s="994">
        <v>47.61</v>
      </c>
      <c r="R11" s="994">
        <v>0</v>
      </c>
      <c r="S11" s="994">
        <v>1.7000000000000001E-2</v>
      </c>
      <c r="T11" s="994">
        <v>33.963000000000001</v>
      </c>
      <c r="U11" s="994">
        <v>0.55900000000000005</v>
      </c>
      <c r="V11" s="994">
        <v>352.69</v>
      </c>
      <c r="W11" s="994">
        <v>116.84699999999999</v>
      </c>
      <c r="X11" s="994">
        <v>2.6640000000000001</v>
      </c>
      <c r="Y11" s="1838">
        <v>0</v>
      </c>
      <c r="Z11" s="991">
        <f t="shared" si="0"/>
        <v>648.44699999999989</v>
      </c>
      <c r="AA11" s="959"/>
    </row>
    <row r="12" spans="1:27" ht="15.75">
      <c r="A12" s="959"/>
      <c r="B12" s="967" t="s">
        <v>795</v>
      </c>
      <c r="C12" s="1060">
        <v>27</v>
      </c>
      <c r="D12" s="1512">
        <v>0.375</v>
      </c>
      <c r="E12" s="993">
        <v>8114.2039999999997</v>
      </c>
      <c r="F12" s="1063">
        <v>7.4240000000000004</v>
      </c>
      <c r="G12" s="994">
        <v>3.3559999999999999</v>
      </c>
      <c r="H12" s="994">
        <v>27.6</v>
      </c>
      <c r="I12" s="994">
        <v>1.573</v>
      </c>
      <c r="J12" s="994">
        <v>0.5</v>
      </c>
      <c r="K12" s="994">
        <v>0</v>
      </c>
      <c r="L12" s="994">
        <v>0</v>
      </c>
      <c r="M12" s="994">
        <v>0.01</v>
      </c>
      <c r="N12" s="994">
        <v>17.948</v>
      </c>
      <c r="O12" s="994">
        <v>16.718</v>
      </c>
      <c r="P12" s="994">
        <v>9.6460000000000008</v>
      </c>
      <c r="Q12" s="994">
        <v>45.59</v>
      </c>
      <c r="R12" s="994">
        <v>0.25600000000000001</v>
      </c>
      <c r="S12" s="994">
        <v>1.2E-2</v>
      </c>
      <c r="T12" s="994">
        <v>32.935000000000002</v>
      </c>
      <c r="U12" s="994">
        <v>0.59399999999999997</v>
      </c>
      <c r="V12" s="994">
        <v>270.41300000000001</v>
      </c>
      <c r="W12" s="994">
        <v>107.12700000000001</v>
      </c>
      <c r="X12" s="994">
        <v>3.2490000000000001</v>
      </c>
      <c r="Y12" s="1838">
        <v>0</v>
      </c>
      <c r="Z12" s="991">
        <f t="shared" si="0"/>
        <v>544.95100000000002</v>
      </c>
      <c r="AA12" s="959"/>
    </row>
    <row r="13" spans="1:27" ht="15.75">
      <c r="A13" s="959"/>
      <c r="B13" s="967" t="s">
        <v>796</v>
      </c>
      <c r="C13" s="1060">
        <v>4</v>
      </c>
      <c r="D13" s="1512">
        <v>0.375</v>
      </c>
      <c r="E13" s="993">
        <v>7840.259</v>
      </c>
      <c r="F13" s="1063">
        <v>7.1139999999999999</v>
      </c>
      <c r="G13" s="994">
        <v>3.3809999999999998</v>
      </c>
      <c r="H13" s="994">
        <v>24.823</v>
      </c>
      <c r="I13" s="994">
        <v>1.5840000000000001</v>
      </c>
      <c r="J13" s="994">
        <v>0</v>
      </c>
      <c r="K13" s="994">
        <v>0</v>
      </c>
      <c r="L13" s="994">
        <v>0</v>
      </c>
      <c r="M13" s="994">
        <v>0.01</v>
      </c>
      <c r="N13" s="994">
        <v>15.569000000000001</v>
      </c>
      <c r="O13" s="994">
        <v>16.942</v>
      </c>
      <c r="P13" s="994">
        <v>10.112</v>
      </c>
      <c r="Q13" s="994">
        <v>42.74</v>
      </c>
      <c r="R13" s="994">
        <v>0.25600000000000001</v>
      </c>
      <c r="S13" s="994">
        <v>0.01</v>
      </c>
      <c r="T13" s="994">
        <v>35.161999999999999</v>
      </c>
      <c r="U13" s="994">
        <v>0.59599999999999997</v>
      </c>
      <c r="V13" s="994">
        <v>249.208</v>
      </c>
      <c r="W13" s="994">
        <v>90.71</v>
      </c>
      <c r="X13" s="994">
        <v>3.2730000000000001</v>
      </c>
      <c r="Y13" s="1838">
        <v>0</v>
      </c>
      <c r="Z13" s="991">
        <f t="shared" si="0"/>
        <v>501.49</v>
      </c>
      <c r="AA13" s="959"/>
    </row>
    <row r="14" spans="1:27" ht="15.75">
      <c r="A14" s="998"/>
      <c r="B14" s="967" t="s">
        <v>797</v>
      </c>
      <c r="C14" s="1060">
        <v>19</v>
      </c>
      <c r="D14" s="1512">
        <v>0.70833333333333337</v>
      </c>
      <c r="E14" s="993">
        <v>7910.5829999999996</v>
      </c>
      <c r="F14" s="1063">
        <v>6.9950000000000001</v>
      </c>
      <c r="G14" s="994">
        <v>3.222</v>
      </c>
      <c r="H14" s="994">
        <v>13.433999999999999</v>
      </c>
      <c r="I14" s="994">
        <v>0.48899999999999999</v>
      </c>
      <c r="J14" s="994">
        <v>0</v>
      </c>
      <c r="K14" s="994">
        <v>6.4000000000000001E-2</v>
      </c>
      <c r="L14" s="994">
        <v>0</v>
      </c>
      <c r="M14" s="994">
        <v>0.17199999999999999</v>
      </c>
      <c r="N14" s="994">
        <v>12.552</v>
      </c>
      <c r="O14" s="994">
        <v>19.870999999999999</v>
      </c>
      <c r="P14" s="994">
        <v>8.7129999999999992</v>
      </c>
      <c r="Q14" s="994">
        <v>31.35</v>
      </c>
      <c r="R14" s="994">
        <v>0.59</v>
      </c>
      <c r="S14" s="994">
        <v>2.2080000000000002</v>
      </c>
      <c r="T14" s="994">
        <v>33.198</v>
      </c>
      <c r="U14" s="994">
        <v>0.66200000000000003</v>
      </c>
      <c r="V14" s="994">
        <v>113.119</v>
      </c>
      <c r="W14" s="994">
        <v>79.820999999999998</v>
      </c>
      <c r="X14" s="994">
        <v>2.9140000000000001</v>
      </c>
      <c r="Y14" s="1838">
        <v>0</v>
      </c>
      <c r="Z14" s="991">
        <f t="shared" si="0"/>
        <v>329.37400000000002</v>
      </c>
      <c r="AA14" s="959"/>
    </row>
    <row r="15" spans="1:27" ht="15.75">
      <c r="A15" s="959"/>
      <c r="B15" s="967" t="s">
        <v>980</v>
      </c>
      <c r="C15" s="1060">
        <v>30</v>
      </c>
      <c r="D15" s="1512">
        <v>0.75</v>
      </c>
      <c r="E15" s="993">
        <v>9222.223</v>
      </c>
      <c r="F15" s="1063">
        <v>6.87</v>
      </c>
      <c r="G15" s="994">
        <v>3.7229999999999999</v>
      </c>
      <c r="H15" s="994">
        <v>15.411</v>
      </c>
      <c r="I15" s="994">
        <v>0.40699999999999997</v>
      </c>
      <c r="J15" s="994">
        <v>2.1999999999999999E-2</v>
      </c>
      <c r="K15" s="994">
        <v>0</v>
      </c>
      <c r="L15" s="994">
        <v>0</v>
      </c>
      <c r="M15" s="994">
        <v>1.27</v>
      </c>
      <c r="N15" s="994">
        <v>10.329000000000001</v>
      </c>
      <c r="O15" s="994">
        <v>18.721</v>
      </c>
      <c r="P15" s="994">
        <v>6.7850000000000001</v>
      </c>
      <c r="Q15" s="994">
        <v>44.04</v>
      </c>
      <c r="R15" s="994">
        <v>0.52700000000000002</v>
      </c>
      <c r="S15" s="994">
        <v>1.1259999999999999</v>
      </c>
      <c r="T15" s="994">
        <v>33.061999999999998</v>
      </c>
      <c r="U15" s="994">
        <v>0.63300000000000001</v>
      </c>
      <c r="V15" s="994">
        <v>167.17099999999999</v>
      </c>
      <c r="W15" s="994">
        <v>104.87199999999999</v>
      </c>
      <c r="X15" s="994">
        <v>4.883</v>
      </c>
      <c r="Y15" s="1838">
        <v>0</v>
      </c>
      <c r="Z15" s="991">
        <f t="shared" si="0"/>
        <v>419.85199999999992</v>
      </c>
      <c r="AA15" s="959"/>
    </row>
    <row r="16" spans="1:27" ht="15.75">
      <c r="A16" s="959"/>
      <c r="B16" s="967" t="s">
        <v>1131</v>
      </c>
      <c r="C16" s="1060">
        <v>21</v>
      </c>
      <c r="D16" s="1512">
        <v>0.70833333333333337</v>
      </c>
      <c r="E16" s="993">
        <v>10522.717000000001</v>
      </c>
      <c r="F16" s="1063">
        <v>6.6840000000000002</v>
      </c>
      <c r="G16" s="994">
        <v>3.589</v>
      </c>
      <c r="H16" s="994">
        <v>15.096</v>
      </c>
      <c r="I16" s="994">
        <v>0.40699999999999997</v>
      </c>
      <c r="J16" s="994">
        <v>0</v>
      </c>
      <c r="K16" s="994">
        <v>0</v>
      </c>
      <c r="L16" s="994">
        <v>0</v>
      </c>
      <c r="M16" s="994">
        <v>1.234</v>
      </c>
      <c r="N16" s="994">
        <v>15.478</v>
      </c>
      <c r="O16" s="994">
        <v>20.626000000000001</v>
      </c>
      <c r="P16" s="994">
        <v>11.12</v>
      </c>
      <c r="Q16" s="994">
        <v>54.52</v>
      </c>
      <c r="R16" s="994">
        <v>0.59299999999999997</v>
      </c>
      <c r="S16" s="994">
        <v>3.1240000000000001</v>
      </c>
      <c r="T16" s="994">
        <v>33.619999999999997</v>
      </c>
      <c r="U16" s="994">
        <v>0.68100000000000005</v>
      </c>
      <c r="V16" s="994">
        <v>204.25700000000001</v>
      </c>
      <c r="W16" s="994">
        <v>123.4</v>
      </c>
      <c r="X16" s="994">
        <v>5.8879999999999999</v>
      </c>
      <c r="Y16" s="1838">
        <v>0</v>
      </c>
      <c r="Z16" s="991">
        <f t="shared" si="0"/>
        <v>500.31699999999995</v>
      </c>
      <c r="AA16" s="959"/>
    </row>
    <row r="17" spans="1:27" ht="15.75">
      <c r="A17" s="959"/>
      <c r="B17" s="967" t="s">
        <v>982</v>
      </c>
      <c r="C17" s="1060">
        <v>16</v>
      </c>
      <c r="D17" s="1512">
        <v>0.70833333333333337</v>
      </c>
      <c r="E17" s="993">
        <v>10760.172</v>
      </c>
      <c r="F17" s="1063">
        <v>7.9420000000000002</v>
      </c>
      <c r="G17" s="994">
        <v>3.9079999999999999</v>
      </c>
      <c r="H17" s="994">
        <v>20.585000000000001</v>
      </c>
      <c r="I17" s="994">
        <v>0.41399999999999998</v>
      </c>
      <c r="J17" s="994">
        <v>0.20499999999999999</v>
      </c>
      <c r="K17" s="994">
        <v>0</v>
      </c>
      <c r="L17" s="994">
        <v>0</v>
      </c>
      <c r="M17" s="994">
        <v>1.3879999999999999</v>
      </c>
      <c r="N17" s="994">
        <v>15.930999999999999</v>
      </c>
      <c r="O17" s="994">
        <v>21.943999999999999</v>
      </c>
      <c r="P17" s="994">
        <v>11.507</v>
      </c>
      <c r="Q17" s="994">
        <v>55.49</v>
      </c>
      <c r="R17" s="994">
        <v>0.59599999999999997</v>
      </c>
      <c r="S17" s="994">
        <v>2.754</v>
      </c>
      <c r="T17" s="994">
        <v>33.207999999999998</v>
      </c>
      <c r="U17" s="994">
        <v>0.76700000000000002</v>
      </c>
      <c r="V17" s="994">
        <v>164.023</v>
      </c>
      <c r="W17" s="994">
        <v>123.742</v>
      </c>
      <c r="X17" s="994">
        <v>5.6710000000000003</v>
      </c>
      <c r="Y17" s="1838">
        <v>0</v>
      </c>
      <c r="Z17" s="991">
        <f t="shared" si="0"/>
        <v>470.07499999999999</v>
      </c>
      <c r="AA17" s="959"/>
    </row>
    <row r="18" spans="1:27" ht="15.75">
      <c r="A18" s="959"/>
      <c r="B18" s="967" t="s">
        <v>1132</v>
      </c>
      <c r="C18" s="1060">
        <v>8</v>
      </c>
      <c r="D18" s="1512">
        <v>0.70833333333333337</v>
      </c>
      <c r="E18" s="993">
        <v>8628.0879999999997</v>
      </c>
      <c r="F18" s="1063">
        <v>5.6059999999999999</v>
      </c>
      <c r="G18" s="994">
        <v>3.137</v>
      </c>
      <c r="H18" s="994">
        <v>11.396000000000001</v>
      </c>
      <c r="I18" s="994">
        <v>0.307</v>
      </c>
      <c r="J18" s="994">
        <v>0.48499999999999999</v>
      </c>
      <c r="K18" s="994">
        <v>0</v>
      </c>
      <c r="L18" s="994">
        <v>0</v>
      </c>
      <c r="M18" s="994">
        <v>0.93500000000000005</v>
      </c>
      <c r="N18" s="994">
        <v>12.523999999999999</v>
      </c>
      <c r="O18" s="994">
        <v>17.489999999999998</v>
      </c>
      <c r="P18" s="994">
        <v>9.1440000000000001</v>
      </c>
      <c r="Q18" s="994">
        <v>40.049999999999997</v>
      </c>
      <c r="R18" s="994">
        <v>0.373</v>
      </c>
      <c r="S18" s="994">
        <v>2.403</v>
      </c>
      <c r="T18" s="994">
        <v>33.183999999999997</v>
      </c>
      <c r="U18" s="994">
        <v>0.67900000000000005</v>
      </c>
      <c r="V18" s="994">
        <v>124.113</v>
      </c>
      <c r="W18" s="994">
        <v>100.304</v>
      </c>
      <c r="X18" s="994">
        <v>5.2869999999999999</v>
      </c>
      <c r="Y18" s="1838">
        <v>0</v>
      </c>
      <c r="Z18" s="991">
        <f t="shared" si="0"/>
        <v>367.41699999999997</v>
      </c>
      <c r="AA18" s="959"/>
    </row>
    <row r="19" spans="1:27" ht="15.75">
      <c r="A19" s="959"/>
      <c r="B19" s="967" t="s">
        <v>984</v>
      </c>
      <c r="C19" s="1060">
        <v>30</v>
      </c>
      <c r="D19" s="1512">
        <v>0.33333333333333331</v>
      </c>
      <c r="E19" s="993">
        <v>7948.201</v>
      </c>
      <c r="F19" s="1063">
        <v>7.68</v>
      </c>
      <c r="G19" s="994">
        <v>3.14</v>
      </c>
      <c r="H19" s="994">
        <v>21.782</v>
      </c>
      <c r="I19" s="994">
        <v>0.99299999999999999</v>
      </c>
      <c r="J19" s="994">
        <v>0.48499999999999999</v>
      </c>
      <c r="K19" s="994">
        <v>0.105</v>
      </c>
      <c r="L19" s="994">
        <v>5.1999999999999998E-2</v>
      </c>
      <c r="M19" s="994">
        <v>1.2E-2</v>
      </c>
      <c r="N19" s="994">
        <v>20.937000000000001</v>
      </c>
      <c r="O19" s="994">
        <v>14.871</v>
      </c>
      <c r="P19" s="994">
        <v>10.845000000000001</v>
      </c>
      <c r="Q19" s="994">
        <v>45.68</v>
      </c>
      <c r="R19" s="994">
        <v>7.0000000000000001E-3</v>
      </c>
      <c r="S19" s="994">
        <v>1.2E-2</v>
      </c>
      <c r="T19" s="994">
        <v>34.468000000000004</v>
      </c>
      <c r="U19" s="994">
        <v>0.59899999999999998</v>
      </c>
      <c r="V19" s="994">
        <v>272.63099999999997</v>
      </c>
      <c r="W19" s="994">
        <v>88.248000000000005</v>
      </c>
      <c r="X19" s="994">
        <v>4.0819999999999999</v>
      </c>
      <c r="Y19" s="1838">
        <v>0</v>
      </c>
      <c r="Z19" s="991">
        <f t="shared" si="0"/>
        <v>526.62900000000002</v>
      </c>
      <c r="AA19" s="959"/>
    </row>
    <row r="20" spans="1:27" ht="15.75">
      <c r="A20" s="959"/>
      <c r="B20" s="967" t="s">
        <v>985</v>
      </c>
      <c r="C20" s="1060">
        <v>28</v>
      </c>
      <c r="D20" s="1512">
        <v>0.33333333333333331</v>
      </c>
      <c r="E20" s="993">
        <v>8400.0190000000002</v>
      </c>
      <c r="F20" s="1063">
        <v>7.6150000000000002</v>
      </c>
      <c r="G20" s="994">
        <v>3.7120000000000002</v>
      </c>
      <c r="H20" s="994">
        <v>26.582000000000001</v>
      </c>
      <c r="I20" s="994">
        <v>1.371</v>
      </c>
      <c r="J20" s="994">
        <v>0.50900000000000001</v>
      </c>
      <c r="K20" s="994">
        <v>3.3000000000000002E-2</v>
      </c>
      <c r="L20" s="994">
        <v>7.5999999999999998E-2</v>
      </c>
      <c r="M20" s="994">
        <v>1.2E-2</v>
      </c>
      <c r="N20" s="994">
        <v>18.544</v>
      </c>
      <c r="O20" s="994">
        <v>15.28</v>
      </c>
      <c r="P20" s="994">
        <v>10.739000000000001</v>
      </c>
      <c r="Q20" s="994">
        <v>43.8</v>
      </c>
      <c r="R20" s="994">
        <v>7.0000000000000001E-3</v>
      </c>
      <c r="S20" s="994">
        <v>7.0000000000000001E-3</v>
      </c>
      <c r="T20" s="994">
        <v>34.423000000000002</v>
      </c>
      <c r="U20" s="994">
        <v>0.51200000000000001</v>
      </c>
      <c r="V20" s="994">
        <v>293.20999999999998</v>
      </c>
      <c r="W20" s="994">
        <v>101.63</v>
      </c>
      <c r="X20" s="994">
        <v>4.9649999999999999</v>
      </c>
      <c r="Y20" s="1838">
        <v>0</v>
      </c>
      <c r="Z20" s="991">
        <f t="shared" si="0"/>
        <v>563.02700000000004</v>
      </c>
      <c r="AA20" s="959"/>
    </row>
    <row r="21" spans="1:27" ht="16.5" thickBot="1">
      <c r="A21" s="959"/>
      <c r="B21" s="983" t="s">
        <v>986</v>
      </c>
      <c r="C21" s="1060">
        <v>18</v>
      </c>
      <c r="D21" s="1512">
        <v>0.75</v>
      </c>
      <c r="E21" s="993">
        <v>8209.0169999999998</v>
      </c>
      <c r="F21" s="1064">
        <v>5.4560000000000004</v>
      </c>
      <c r="G21" s="1601">
        <v>2.8130000000000002</v>
      </c>
      <c r="H21" s="1601">
        <v>21.077000000000002</v>
      </c>
      <c r="I21" s="1601">
        <v>0.95899999999999996</v>
      </c>
      <c r="J21" s="1601">
        <v>0.30599999999999999</v>
      </c>
      <c r="K21" s="1601">
        <v>0.182</v>
      </c>
      <c r="L21" s="1601">
        <v>0.122</v>
      </c>
      <c r="M21" s="1601">
        <v>1.0999999999999999E-2</v>
      </c>
      <c r="N21" s="1601">
        <v>12.891</v>
      </c>
      <c r="O21" s="1601">
        <v>16.190999999999999</v>
      </c>
      <c r="P21" s="1601">
        <v>9.9489999999999998</v>
      </c>
      <c r="Q21" s="1601">
        <v>42.76</v>
      </c>
      <c r="R21" s="1601">
        <v>8.0000000000000002E-3</v>
      </c>
      <c r="S21" s="1601">
        <v>7.0000000000000001E-3</v>
      </c>
      <c r="T21" s="1601">
        <v>32.692</v>
      </c>
      <c r="U21" s="1601">
        <v>0.53400000000000003</v>
      </c>
      <c r="V21" s="1601">
        <v>283.29399999999998</v>
      </c>
      <c r="W21" s="1601">
        <v>111.82</v>
      </c>
      <c r="X21" s="1601">
        <v>4.7290000000000001</v>
      </c>
      <c r="Y21" s="1866">
        <v>0</v>
      </c>
      <c r="Z21" s="991">
        <f t="shared" si="0"/>
        <v>545.80099999999993</v>
      </c>
      <c r="AA21" s="959"/>
    </row>
    <row r="22" spans="1:27" ht="16.5" thickBot="1">
      <c r="A22" s="959"/>
      <c r="B22" s="1002" t="s">
        <v>111</v>
      </c>
      <c r="C22" s="1065"/>
      <c r="D22" s="1066"/>
      <c r="E22" s="1003">
        <f t="shared" ref="E22:V22" si="1">SUM(E10:E21)</f>
        <v>105232.35800000001</v>
      </c>
      <c r="F22" s="1039">
        <f t="shared" si="1"/>
        <v>86.41</v>
      </c>
      <c r="G22" s="1040">
        <f t="shared" si="1"/>
        <v>41.039000000000001</v>
      </c>
      <c r="H22" s="1040">
        <f t="shared" si="1"/>
        <v>267.30000000000007</v>
      </c>
      <c r="I22" s="1040">
        <f t="shared" si="1"/>
        <v>11.883000000000001</v>
      </c>
      <c r="J22" s="1040">
        <f t="shared" si="1"/>
        <v>3.1679999999999997</v>
      </c>
      <c r="K22" s="1040">
        <f t="shared" si="1"/>
        <v>0.46900000000000003</v>
      </c>
      <c r="L22" s="1040">
        <f t="shared" si="1"/>
        <v>0.435</v>
      </c>
      <c r="M22" s="1040">
        <f t="shared" si="1"/>
        <v>5.0750000000000002</v>
      </c>
      <c r="N22" s="1040">
        <f t="shared" si="1"/>
        <v>192.88600000000002</v>
      </c>
      <c r="O22" s="1040">
        <f t="shared" si="1"/>
        <v>212.86600000000004</v>
      </c>
      <c r="P22" s="1040">
        <f t="shared" si="1"/>
        <v>121.50800000000002</v>
      </c>
      <c r="Q22" s="1040">
        <f t="shared" si="1"/>
        <v>554.68000000000006</v>
      </c>
      <c r="R22" s="1040">
        <f t="shared" si="1"/>
        <v>3.2130000000000001</v>
      </c>
      <c r="S22" s="1040">
        <f t="shared" si="1"/>
        <v>11.692</v>
      </c>
      <c r="T22" s="1040">
        <f t="shared" si="1"/>
        <v>404.62899999999996</v>
      </c>
      <c r="U22" s="1040">
        <f t="shared" si="1"/>
        <v>7.3560000000000008</v>
      </c>
      <c r="V22" s="1040">
        <f t="shared" si="1"/>
        <v>2894.748</v>
      </c>
      <c r="W22" s="1040">
        <f t="shared" ref="W22:X22" si="2">SUM(W10:W21)</f>
        <v>1260.6959999999997</v>
      </c>
      <c r="X22" s="1040">
        <f t="shared" si="2"/>
        <v>50.325000000000003</v>
      </c>
      <c r="Y22" s="1040"/>
      <c r="Z22" s="1901">
        <f t="shared" si="0"/>
        <v>6130.3779999999997</v>
      </c>
      <c r="AA22" s="959"/>
    </row>
    <row r="23" spans="1:27" ht="15.75">
      <c r="A23" s="959"/>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row>
    <row r="24" spans="1:27" ht="15.75">
      <c r="A24" s="959"/>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row>
    <row r="25" spans="1:27" ht="16.5" thickBot="1">
      <c r="A25" s="959"/>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row>
    <row r="26" spans="1:27" ht="16.5" thickBot="1">
      <c r="A26" s="959"/>
      <c r="B26" s="964"/>
      <c r="C26" s="1068"/>
      <c r="D26" s="1069"/>
      <c r="E26" s="1979" t="s">
        <v>1090</v>
      </c>
      <c r="F26" s="1980"/>
      <c r="G26" s="1980"/>
      <c r="H26" s="1980"/>
      <c r="I26" s="1980"/>
      <c r="J26" s="1981"/>
      <c r="K26" s="959"/>
      <c r="L26" s="959"/>
      <c r="M26" s="959"/>
      <c r="N26" s="959"/>
      <c r="O26" s="959"/>
      <c r="P26" s="959"/>
      <c r="Q26" s="959"/>
      <c r="R26" s="959"/>
      <c r="S26" s="959"/>
      <c r="T26" s="959"/>
      <c r="U26" s="959"/>
      <c r="V26" s="959"/>
      <c r="W26" s="959"/>
      <c r="X26" s="959"/>
      <c r="Y26" s="959"/>
    </row>
    <row r="27" spans="1:27" ht="16.5" thickBot="1">
      <c r="A27" s="959"/>
      <c r="B27" s="983" t="s">
        <v>702</v>
      </c>
      <c r="C27" s="1048"/>
      <c r="D27" s="1070"/>
      <c r="E27" s="969" t="s">
        <v>1110</v>
      </c>
      <c r="F27" s="970" t="s">
        <v>1111</v>
      </c>
      <c r="G27" s="970" t="s">
        <v>1112</v>
      </c>
      <c r="H27" s="970" t="s">
        <v>1113</v>
      </c>
      <c r="I27" s="972" t="s">
        <v>1174</v>
      </c>
      <c r="J27" s="971" t="s">
        <v>1114</v>
      </c>
      <c r="K27" s="959"/>
      <c r="L27" s="959"/>
      <c r="M27" s="959"/>
      <c r="N27" s="959"/>
      <c r="O27" s="959"/>
      <c r="P27" s="959"/>
      <c r="Q27" s="959"/>
      <c r="R27" s="959"/>
      <c r="S27" s="959"/>
      <c r="T27" s="959"/>
      <c r="U27" s="959"/>
      <c r="V27" s="959"/>
      <c r="W27" s="959"/>
      <c r="X27" s="959"/>
      <c r="Y27" s="959"/>
    </row>
    <row r="28" spans="1:27" ht="50.25" customHeight="1">
      <c r="A28" s="959"/>
      <c r="B28" s="973" t="s">
        <v>1115</v>
      </c>
      <c r="C28" s="973"/>
      <c r="D28" s="1051"/>
      <c r="E28" s="975" t="s">
        <v>1116</v>
      </c>
      <c r="F28" s="976" t="s">
        <v>1117</v>
      </c>
      <c r="G28" s="976" t="s">
        <v>1118</v>
      </c>
      <c r="H28" s="976" t="s">
        <v>1119</v>
      </c>
      <c r="I28" s="976"/>
      <c r="J28" s="978"/>
      <c r="K28" s="959"/>
      <c r="L28" s="959"/>
      <c r="M28" s="959"/>
      <c r="N28" s="959"/>
      <c r="O28" s="959"/>
      <c r="P28" s="959"/>
      <c r="Q28" s="959"/>
      <c r="R28" s="959"/>
      <c r="S28" s="959"/>
      <c r="T28" s="959"/>
      <c r="U28" s="959"/>
      <c r="V28" s="959"/>
      <c r="W28" s="959"/>
      <c r="X28" s="959"/>
      <c r="Y28" s="959"/>
    </row>
    <row r="29" spans="1:27" ht="15.75">
      <c r="A29" s="959"/>
      <c r="B29" s="979" t="s">
        <v>1120</v>
      </c>
      <c r="C29" s="979"/>
      <c r="D29" s="1054"/>
      <c r="E29" s="981" t="s">
        <v>1124</v>
      </c>
      <c r="F29" s="977" t="s">
        <v>1124</v>
      </c>
      <c r="G29" s="977" t="s">
        <v>1124</v>
      </c>
      <c r="H29" s="977" t="s">
        <v>1124</v>
      </c>
      <c r="I29" s="977"/>
      <c r="J29" s="978" t="s">
        <v>1125</v>
      </c>
      <c r="K29" s="959"/>
      <c r="L29" s="959"/>
      <c r="M29" s="959"/>
      <c r="N29" s="959"/>
      <c r="O29" s="959"/>
      <c r="P29" s="959"/>
      <c r="Q29" s="959"/>
      <c r="R29" s="959"/>
      <c r="S29" s="959"/>
      <c r="T29" s="959"/>
      <c r="U29" s="959"/>
      <c r="V29" s="959"/>
      <c r="W29" s="959"/>
      <c r="X29" s="959"/>
      <c r="Y29" s="959"/>
    </row>
    <row r="30" spans="1:27" ht="16.5" thickBot="1">
      <c r="A30" s="959"/>
      <c r="B30" s="983" t="s">
        <v>1126</v>
      </c>
      <c r="C30" s="1057" t="s">
        <v>1170</v>
      </c>
      <c r="D30" s="1057" t="s">
        <v>1171</v>
      </c>
      <c r="E30" s="984" t="s">
        <v>1127</v>
      </c>
      <c r="F30" s="985" t="s">
        <v>1128</v>
      </c>
      <c r="G30" s="985" t="s">
        <v>1129</v>
      </c>
      <c r="H30" s="985" t="s">
        <v>1130</v>
      </c>
      <c r="I30" s="985"/>
      <c r="J30" s="986"/>
      <c r="K30" s="959"/>
      <c r="L30" s="959"/>
      <c r="M30" s="959"/>
      <c r="N30" s="959"/>
      <c r="O30" s="959"/>
      <c r="P30" s="959"/>
      <c r="Q30" s="959"/>
      <c r="R30" s="959"/>
      <c r="S30" s="959"/>
      <c r="T30" s="959"/>
      <c r="U30" s="959"/>
      <c r="V30" s="959"/>
      <c r="W30" s="959"/>
      <c r="X30" s="959"/>
      <c r="Y30" s="959"/>
    </row>
    <row r="31" spans="1:27" ht="15.75">
      <c r="A31" s="959"/>
      <c r="B31" s="967" t="s">
        <v>976</v>
      </c>
      <c r="C31" s="1060">
        <f t="shared" ref="C31:D42" si="3">C10</f>
        <v>30</v>
      </c>
      <c r="D31" s="1540">
        <f t="shared" si="3"/>
        <v>0.33333333333333331</v>
      </c>
      <c r="E31" s="988">
        <v>458.303</v>
      </c>
      <c r="F31" s="989">
        <v>52.286999999999999</v>
      </c>
      <c r="G31" s="989">
        <v>123.733</v>
      </c>
      <c r="H31" s="989">
        <v>310</v>
      </c>
      <c r="I31" s="990"/>
      <c r="J31" s="991">
        <f t="shared" ref="J31:J42" si="4">SUM(E31:I31)</f>
        <v>944.32299999999998</v>
      </c>
      <c r="K31" s="959"/>
      <c r="L31" s="959"/>
      <c r="M31" s="959"/>
      <c r="N31" s="959"/>
      <c r="O31" s="959"/>
      <c r="P31" s="959"/>
      <c r="Q31" s="959"/>
      <c r="R31" s="1043"/>
      <c r="S31" s="959"/>
      <c r="T31" s="1044"/>
      <c r="U31" s="959"/>
      <c r="V31" s="959"/>
      <c r="W31" s="959"/>
      <c r="X31" s="959"/>
      <c r="Y31" s="959"/>
    </row>
    <row r="32" spans="1:27" ht="15.75">
      <c r="A32" s="959"/>
      <c r="B32" s="967" t="s">
        <v>977</v>
      </c>
      <c r="C32" s="1060">
        <f t="shared" si="3"/>
        <v>2</v>
      </c>
      <c r="D32" s="1540">
        <f t="shared" si="3"/>
        <v>0.33333333333333331</v>
      </c>
      <c r="E32" s="995">
        <v>470.93700000000001</v>
      </c>
      <c r="F32" s="996">
        <v>54.207999999999998</v>
      </c>
      <c r="G32" s="996">
        <v>116.877</v>
      </c>
      <c r="H32" s="996">
        <v>308</v>
      </c>
      <c r="I32" s="997"/>
      <c r="J32" s="991">
        <f t="shared" si="4"/>
        <v>950.02199999999993</v>
      </c>
      <c r="K32" s="959"/>
      <c r="L32" s="959"/>
      <c r="M32" s="959"/>
      <c r="N32" s="959"/>
      <c r="O32" s="959"/>
      <c r="P32" s="959"/>
      <c r="Q32" s="959"/>
      <c r="R32" s="1043"/>
      <c r="S32" s="959"/>
      <c r="T32" s="959"/>
      <c r="U32" s="959"/>
      <c r="V32" s="959"/>
      <c r="W32" s="959"/>
      <c r="X32" s="959"/>
      <c r="Y32" s="959"/>
    </row>
    <row r="33" spans="1:25" ht="15.75">
      <c r="A33" s="959"/>
      <c r="B33" s="967" t="s">
        <v>795</v>
      </c>
      <c r="C33" s="1060">
        <f t="shared" si="3"/>
        <v>27</v>
      </c>
      <c r="D33" s="1540">
        <f t="shared" si="3"/>
        <v>0.375</v>
      </c>
      <c r="E33" s="995">
        <v>447.89299999999997</v>
      </c>
      <c r="F33" s="996">
        <v>100.071</v>
      </c>
      <c r="G33" s="996">
        <v>139.298</v>
      </c>
      <c r="H33" s="996">
        <v>202</v>
      </c>
      <c r="I33" s="997"/>
      <c r="J33" s="991">
        <f t="shared" si="4"/>
        <v>889.26199999999994</v>
      </c>
      <c r="K33" s="959"/>
      <c r="L33" s="959"/>
      <c r="M33" s="959"/>
      <c r="N33" s="959"/>
      <c r="O33" s="959"/>
      <c r="P33" s="959"/>
      <c r="Q33" s="959"/>
      <c r="R33" s="959"/>
      <c r="S33" s="959"/>
      <c r="T33" s="959"/>
      <c r="U33" s="959"/>
      <c r="V33" s="959"/>
      <c r="W33" s="959"/>
      <c r="X33" s="959"/>
      <c r="Y33" s="959"/>
    </row>
    <row r="34" spans="1:25" ht="15.75">
      <c r="A34" s="959"/>
      <c r="B34" s="967" t="s">
        <v>796</v>
      </c>
      <c r="C34" s="1060">
        <f t="shared" si="3"/>
        <v>4</v>
      </c>
      <c r="D34" s="1540">
        <f t="shared" si="3"/>
        <v>0.375</v>
      </c>
      <c r="E34" s="995">
        <v>423.37400000000002</v>
      </c>
      <c r="F34" s="996">
        <v>21.751999999999999</v>
      </c>
      <c r="G34" s="996">
        <v>161.744</v>
      </c>
      <c r="H34" s="996">
        <v>282</v>
      </c>
      <c r="I34" s="997"/>
      <c r="J34" s="991">
        <f t="shared" si="4"/>
        <v>888.87</v>
      </c>
      <c r="K34" s="959"/>
      <c r="L34" s="959"/>
      <c r="M34" s="959"/>
      <c r="N34" s="959"/>
      <c r="O34" s="959"/>
      <c r="P34" s="959"/>
      <c r="Q34" s="959"/>
      <c r="R34" s="1006"/>
      <c r="S34" s="959"/>
      <c r="T34" s="959"/>
      <c r="U34" s="959"/>
      <c r="V34" s="959"/>
      <c r="W34" s="959"/>
      <c r="X34" s="959"/>
      <c r="Y34" s="959"/>
    </row>
    <row r="35" spans="1:25" ht="15.75">
      <c r="A35" s="959"/>
      <c r="B35" s="967" t="s">
        <v>797</v>
      </c>
      <c r="C35" s="1060">
        <f t="shared" si="3"/>
        <v>19</v>
      </c>
      <c r="D35" s="1540">
        <f t="shared" si="3"/>
        <v>0.70833333333333337</v>
      </c>
      <c r="E35" s="995">
        <v>476.71100000000001</v>
      </c>
      <c r="F35" s="996">
        <v>88.757000000000005</v>
      </c>
      <c r="G35" s="996">
        <v>112.92</v>
      </c>
      <c r="H35" s="996">
        <v>276</v>
      </c>
      <c r="I35" s="997"/>
      <c r="J35" s="991">
        <f t="shared" si="4"/>
        <v>954.38800000000003</v>
      </c>
      <c r="K35" s="959"/>
      <c r="L35" s="959"/>
      <c r="M35" s="959"/>
      <c r="N35" s="959"/>
      <c r="O35" s="959"/>
      <c r="P35" s="959"/>
      <c r="Q35" s="959"/>
      <c r="R35" s="1044"/>
      <c r="S35" s="959"/>
      <c r="T35" s="959"/>
      <c r="U35" s="959"/>
      <c r="V35" s="959"/>
      <c r="W35" s="959"/>
      <c r="X35" s="959"/>
      <c r="Y35" s="959"/>
    </row>
    <row r="36" spans="1:25" ht="15.75">
      <c r="A36" s="959"/>
      <c r="B36" s="967" t="s">
        <v>980</v>
      </c>
      <c r="C36" s="1060">
        <f t="shared" si="3"/>
        <v>30</v>
      </c>
      <c r="D36" s="1540">
        <f t="shared" si="3"/>
        <v>0.75</v>
      </c>
      <c r="E36" s="995">
        <v>626.69600000000003</v>
      </c>
      <c r="F36" s="996">
        <v>84.602999999999994</v>
      </c>
      <c r="G36" s="996">
        <v>153.94299999999998</v>
      </c>
      <c r="H36" s="996">
        <v>305</v>
      </c>
      <c r="I36" s="997"/>
      <c r="J36" s="991">
        <f t="shared" si="4"/>
        <v>1170.242</v>
      </c>
      <c r="K36" s="959"/>
      <c r="L36" s="959"/>
      <c r="M36" s="959"/>
      <c r="N36" s="959"/>
      <c r="O36" s="959"/>
      <c r="P36" s="959"/>
      <c r="Q36" s="959"/>
      <c r="R36" s="959"/>
      <c r="S36" s="959"/>
      <c r="T36" s="959"/>
      <c r="U36" s="959"/>
      <c r="V36" s="959"/>
      <c r="W36" s="959"/>
      <c r="X36" s="959"/>
      <c r="Y36" s="959"/>
    </row>
    <row r="37" spans="1:25" ht="15.75">
      <c r="A37" s="959"/>
      <c r="B37" s="967" t="s">
        <v>1131</v>
      </c>
      <c r="C37" s="1060">
        <f t="shared" si="3"/>
        <v>21</v>
      </c>
      <c r="D37" s="1540">
        <f t="shared" si="3"/>
        <v>0.70833333333333337</v>
      </c>
      <c r="E37" s="995">
        <v>882.56200000000001</v>
      </c>
      <c r="F37" s="996">
        <v>152.56700000000001</v>
      </c>
      <c r="G37" s="996">
        <v>218.31</v>
      </c>
      <c r="H37" s="996">
        <v>298</v>
      </c>
      <c r="I37" s="997"/>
      <c r="J37" s="991">
        <f t="shared" si="4"/>
        <v>1551.4389999999999</v>
      </c>
      <c r="K37" s="959"/>
      <c r="L37" s="959"/>
      <c r="M37" s="959"/>
      <c r="N37" s="959"/>
      <c r="O37" s="959"/>
      <c r="P37" s="959"/>
      <c r="Q37" s="959"/>
      <c r="R37" s="959"/>
      <c r="S37" s="959"/>
      <c r="T37" s="959"/>
      <c r="U37" s="959"/>
      <c r="V37" s="959"/>
      <c r="W37" s="959"/>
      <c r="X37" s="959"/>
      <c r="Y37" s="959"/>
    </row>
    <row r="38" spans="1:25" ht="15.75">
      <c r="A38" s="959"/>
      <c r="B38" s="967" t="s">
        <v>982</v>
      </c>
      <c r="C38" s="1060">
        <f t="shared" si="3"/>
        <v>16</v>
      </c>
      <c r="D38" s="1540">
        <f t="shared" si="3"/>
        <v>0.70833333333333337</v>
      </c>
      <c r="E38" s="995">
        <v>815.07399999999996</v>
      </c>
      <c r="F38" s="996">
        <v>164.77699999999999</v>
      </c>
      <c r="G38" s="996">
        <v>170.42000000000002</v>
      </c>
      <c r="H38" s="996">
        <v>301</v>
      </c>
      <c r="I38" s="997"/>
      <c r="J38" s="991">
        <f t="shared" si="4"/>
        <v>1451.271</v>
      </c>
      <c r="K38" s="959"/>
      <c r="L38" s="959"/>
      <c r="M38" s="959"/>
      <c r="N38" s="959"/>
      <c r="O38" s="959"/>
      <c r="P38" s="959"/>
      <c r="Q38" s="959"/>
      <c r="R38" s="959"/>
      <c r="S38" s="959"/>
      <c r="T38" s="959"/>
      <c r="U38" s="959"/>
      <c r="V38" s="959"/>
      <c r="W38" s="959"/>
      <c r="X38" s="959"/>
      <c r="Y38" s="959"/>
    </row>
    <row r="39" spans="1:25" ht="15.75">
      <c r="A39" s="959"/>
      <c r="B39" s="967" t="s">
        <v>1132</v>
      </c>
      <c r="C39" s="1060">
        <f t="shared" si="3"/>
        <v>8</v>
      </c>
      <c r="D39" s="1540">
        <f t="shared" si="3"/>
        <v>0.70833333333333337</v>
      </c>
      <c r="E39" s="995">
        <v>669.56</v>
      </c>
      <c r="F39" s="996">
        <v>110.631</v>
      </c>
      <c r="G39" s="996">
        <v>139.43799999999999</v>
      </c>
      <c r="H39" s="996">
        <v>258</v>
      </c>
      <c r="I39" s="997"/>
      <c r="J39" s="991">
        <f t="shared" si="4"/>
        <v>1177.6289999999999</v>
      </c>
      <c r="K39" s="959"/>
      <c r="L39" s="959"/>
      <c r="M39" s="959"/>
      <c r="N39" s="959"/>
      <c r="O39" s="959"/>
      <c r="P39" s="959"/>
      <c r="Q39" s="959"/>
      <c r="R39" s="959"/>
      <c r="S39" s="959"/>
      <c r="T39" s="959"/>
      <c r="U39" s="959"/>
      <c r="V39" s="959"/>
      <c r="W39" s="959"/>
      <c r="X39" s="959"/>
      <c r="Y39" s="959"/>
    </row>
    <row r="40" spans="1:25" ht="15.75">
      <c r="A40" s="959"/>
      <c r="B40" s="967" t="s">
        <v>984</v>
      </c>
      <c r="C40" s="1060">
        <f t="shared" si="3"/>
        <v>30</v>
      </c>
      <c r="D40" s="1540">
        <f t="shared" si="3"/>
        <v>0.33333333333333331</v>
      </c>
      <c r="E40" s="995">
        <v>377.53</v>
      </c>
      <c r="F40" s="996">
        <v>58.709000000000003</v>
      </c>
      <c r="G40" s="996">
        <v>122.41999999999999</v>
      </c>
      <c r="H40" s="996">
        <v>302</v>
      </c>
      <c r="I40" s="997"/>
      <c r="J40" s="991">
        <f t="shared" si="4"/>
        <v>860.65899999999999</v>
      </c>
      <c r="K40" s="959"/>
      <c r="L40" s="959"/>
      <c r="M40" s="959"/>
      <c r="N40" s="959"/>
      <c r="O40" s="959"/>
      <c r="P40" s="959"/>
      <c r="Q40" s="959"/>
      <c r="R40" s="959"/>
      <c r="S40" s="959"/>
      <c r="T40" s="959"/>
      <c r="U40" s="959"/>
      <c r="V40" s="959"/>
      <c r="W40" s="959"/>
      <c r="X40" s="959"/>
      <c r="Y40" s="959"/>
    </row>
    <row r="41" spans="1:25" ht="15.75">
      <c r="A41" s="959"/>
      <c r="B41" s="967" t="s">
        <v>985</v>
      </c>
      <c r="C41" s="1060">
        <f t="shared" si="3"/>
        <v>28</v>
      </c>
      <c r="D41" s="1540">
        <f t="shared" si="3"/>
        <v>0.33333333333333331</v>
      </c>
      <c r="E41" s="995">
        <v>414.97800000000001</v>
      </c>
      <c r="F41" s="996">
        <v>79.08</v>
      </c>
      <c r="G41" s="996">
        <v>111.398</v>
      </c>
      <c r="H41" s="996">
        <v>283</v>
      </c>
      <c r="I41" s="997"/>
      <c r="J41" s="991">
        <f t="shared" si="4"/>
        <v>888.45600000000002</v>
      </c>
      <c r="K41" s="959"/>
      <c r="L41" s="959"/>
      <c r="M41" s="959"/>
      <c r="N41" s="959"/>
      <c r="O41" s="959"/>
      <c r="P41" s="959"/>
      <c r="Q41" s="959"/>
      <c r="R41" s="959"/>
      <c r="S41" s="959"/>
      <c r="T41" s="959"/>
      <c r="U41" s="959"/>
      <c r="V41" s="959"/>
      <c r="W41" s="959"/>
      <c r="X41" s="959"/>
      <c r="Y41" s="959"/>
    </row>
    <row r="42" spans="1:25" ht="16.5" thickBot="1">
      <c r="A42" s="959"/>
      <c r="B42" s="983" t="s">
        <v>986</v>
      </c>
      <c r="C42" s="1541">
        <f t="shared" si="3"/>
        <v>18</v>
      </c>
      <c r="D42" s="1542">
        <f t="shared" si="3"/>
        <v>0.75</v>
      </c>
      <c r="E42" s="999">
        <v>443.67</v>
      </c>
      <c r="F42" s="1000">
        <v>120.131</v>
      </c>
      <c r="G42" s="1000">
        <v>105.63900000000001</v>
      </c>
      <c r="H42" s="1000">
        <v>211</v>
      </c>
      <c r="I42" s="1001"/>
      <c r="J42" s="986">
        <f t="shared" si="4"/>
        <v>880.44</v>
      </c>
      <c r="K42" s="959"/>
      <c r="L42" s="959"/>
      <c r="M42" s="959"/>
      <c r="N42" s="959"/>
      <c r="O42" s="959"/>
      <c r="P42" s="959"/>
      <c r="Q42" s="959"/>
      <c r="R42" s="959"/>
      <c r="S42" s="959"/>
      <c r="T42" s="959"/>
      <c r="U42" s="959"/>
      <c r="V42" s="959"/>
      <c r="W42" s="959"/>
      <c r="X42" s="959"/>
      <c r="Y42" s="959"/>
    </row>
    <row r="43" spans="1:25" ht="16.5" thickBot="1">
      <c r="A43" s="959"/>
      <c r="B43" s="1002" t="s">
        <v>111</v>
      </c>
      <c r="C43" s="1065"/>
      <c r="D43" s="1066"/>
      <c r="E43" s="1039">
        <f t="shared" ref="E43:J43" si="5">SUM(E31:E42)</f>
        <v>6507.2879999999986</v>
      </c>
      <c r="F43" s="1040">
        <f t="shared" si="5"/>
        <v>1087.5730000000001</v>
      </c>
      <c r="G43" s="1040">
        <f t="shared" si="5"/>
        <v>1676.1399999999999</v>
      </c>
      <c r="H43" s="1040">
        <f t="shared" si="5"/>
        <v>3336</v>
      </c>
      <c r="I43" s="1005"/>
      <c r="J43" s="986">
        <f t="shared" si="5"/>
        <v>12607.001</v>
      </c>
      <c r="K43" s="959"/>
      <c r="L43" s="959"/>
      <c r="M43" s="959"/>
      <c r="N43" s="959"/>
      <c r="O43" s="959"/>
      <c r="P43" s="959"/>
      <c r="Q43" s="959"/>
      <c r="R43" s="959"/>
      <c r="S43" s="959"/>
      <c r="T43" s="959"/>
      <c r="U43" s="959"/>
      <c r="V43" s="959"/>
      <c r="W43" s="959"/>
      <c r="X43" s="959"/>
      <c r="Y43" s="959"/>
    </row>
  </sheetData>
  <mergeCells count="4">
    <mergeCell ref="E26:J26"/>
    <mergeCell ref="B5:Z5"/>
    <mergeCell ref="B1:Z1"/>
    <mergeCell ref="B2:Z2"/>
  </mergeCells>
  <phoneticPr fontId="135" type="noConversion"/>
  <pageMargins left="0.7" right="0.7" top="0.75" bottom="0.75" header="0.3" footer="0.3"/>
  <pageSetup scale="4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335"/>
  <sheetViews>
    <sheetView tabSelected="1" topLeftCell="A3" zoomScale="90" zoomScaleNormal="90" workbookViewId="0">
      <selection activeCell="F3" sqref="F3"/>
    </sheetView>
  </sheetViews>
  <sheetFormatPr defaultRowHeight="15" outlineLevelCol="1"/>
  <cols>
    <col min="1" max="1" width="7.42578125" customWidth="1"/>
    <col min="2" max="2" width="3.42578125" customWidth="1"/>
    <col min="3" max="3" width="65.85546875" customWidth="1"/>
    <col min="4" max="4" width="31.85546875" customWidth="1"/>
    <col min="5" max="5" width="36.28515625" customWidth="1"/>
    <col min="6" max="6" width="47.28515625" customWidth="1"/>
    <col min="7" max="7" width="19" customWidth="1"/>
    <col min="8" max="8" width="29.42578125" customWidth="1"/>
    <col min="9" max="9" width="7.140625" hidden="1" customWidth="1" outlineLevel="1"/>
    <col min="10" max="12" width="29.42578125" hidden="1" customWidth="1" outlineLevel="1"/>
    <col min="13" max="13" width="7.140625" customWidth="1" collapsed="1"/>
    <col min="14" max="16" width="29.42578125" customWidth="1"/>
    <col min="17" max="17" width="5.5703125" customWidth="1"/>
    <col min="18" max="19" width="19.140625" bestFit="1" customWidth="1"/>
  </cols>
  <sheetData>
    <row r="1" spans="1:19" ht="18">
      <c r="A1" s="1" t="s">
        <v>0</v>
      </c>
      <c r="B1" s="1"/>
      <c r="C1" s="1"/>
      <c r="D1" s="1"/>
      <c r="E1" s="1"/>
      <c r="F1" s="1"/>
      <c r="G1" s="1"/>
      <c r="H1" s="1"/>
      <c r="I1" s="1"/>
      <c r="J1" s="1" t="s">
        <v>1</v>
      </c>
      <c r="K1" s="1"/>
      <c r="L1" s="1"/>
      <c r="M1" s="2"/>
      <c r="N1" s="1"/>
      <c r="O1" s="1"/>
      <c r="P1" s="1"/>
      <c r="Q1" s="3"/>
      <c r="R1" s="4"/>
    </row>
    <row r="2" spans="1:19" ht="18">
      <c r="A2" s="1" t="s">
        <v>2</v>
      </c>
      <c r="B2" s="1"/>
      <c r="C2" s="1"/>
      <c r="D2" s="1"/>
      <c r="E2" s="1"/>
      <c r="F2" s="1"/>
      <c r="G2" s="1"/>
      <c r="H2" s="1"/>
      <c r="I2" s="1"/>
      <c r="J2" s="1" t="s">
        <v>1</v>
      </c>
      <c r="K2" s="1"/>
      <c r="L2" s="1"/>
      <c r="M2" s="2"/>
      <c r="N2" s="1"/>
      <c r="O2" s="1"/>
      <c r="P2" s="1"/>
      <c r="Q2" s="3"/>
      <c r="R2" s="4"/>
    </row>
    <row r="3" spans="1:19" ht="18">
      <c r="A3" s="1" t="s">
        <v>3</v>
      </c>
      <c r="B3" s="1"/>
      <c r="C3" s="1"/>
      <c r="D3" s="1"/>
      <c r="E3" s="1"/>
      <c r="F3" s="1"/>
      <c r="G3" s="1"/>
      <c r="H3" s="1"/>
      <c r="I3" s="1"/>
      <c r="J3" s="1" t="s">
        <v>1</v>
      </c>
      <c r="K3" s="1"/>
      <c r="L3" s="1"/>
      <c r="M3" s="2"/>
      <c r="N3" s="1"/>
      <c r="O3" s="1"/>
      <c r="P3" s="1"/>
      <c r="Q3" s="3"/>
      <c r="R3" s="4"/>
    </row>
    <row r="4" spans="1:19" ht="18.75" thickBot="1">
      <c r="A4" s="1"/>
      <c r="B4" s="1"/>
      <c r="C4" s="1"/>
      <c r="D4" s="1"/>
      <c r="E4" s="1"/>
      <c r="F4" s="1"/>
      <c r="G4" s="1"/>
      <c r="H4" s="1"/>
      <c r="I4" s="1"/>
      <c r="J4" s="1"/>
      <c r="K4" s="1"/>
      <c r="L4" s="1"/>
      <c r="M4" s="2"/>
      <c r="N4" s="1"/>
      <c r="O4" s="1"/>
      <c r="P4" s="1"/>
      <c r="Q4" s="3"/>
      <c r="R4" s="4"/>
    </row>
    <row r="5" spans="1:19" ht="16.5" thickBot="1">
      <c r="A5" s="5"/>
      <c r="B5" s="6"/>
      <c r="C5" s="6"/>
      <c r="D5" s="6"/>
      <c r="E5" s="6"/>
      <c r="F5" s="6"/>
      <c r="G5" s="6"/>
      <c r="H5" s="7" t="str">
        <f>IF(Toggle=Projection,data_year+1&amp;" "&amp;Toggle,IF(Toggle=True_up,data_year&amp;" "&amp;Toggle,"Set toggle!"))</f>
        <v>2025 Projection</v>
      </c>
      <c r="I5" s="8"/>
      <c r="J5" s="9" t="s">
        <v>2087</v>
      </c>
      <c r="K5" s="8"/>
      <c r="L5" s="8"/>
      <c r="M5" s="8"/>
      <c r="N5" s="9" t="s">
        <v>2155</v>
      </c>
      <c r="O5" s="8"/>
      <c r="P5" s="8"/>
      <c r="Q5" s="10"/>
      <c r="R5" s="11" t="s">
        <v>4</v>
      </c>
      <c r="S5" s="11" t="s">
        <v>279</v>
      </c>
    </row>
    <row r="6" spans="1:19" ht="15.75">
      <c r="A6" s="1916" t="s">
        <v>5</v>
      </c>
      <c r="B6" s="1917"/>
      <c r="C6" s="1917"/>
      <c r="D6" s="1918"/>
      <c r="E6" s="1922" t="s">
        <v>6</v>
      </c>
      <c r="F6" s="1916" t="s">
        <v>7</v>
      </c>
      <c r="G6" s="1918"/>
      <c r="H6" s="12">
        <v>2024</v>
      </c>
      <c r="I6" s="13"/>
      <c r="J6" s="14">
        <v>2022</v>
      </c>
      <c r="K6" s="15" t="s">
        <v>8</v>
      </c>
      <c r="L6" s="16" t="s">
        <v>9</v>
      </c>
      <c r="M6" s="17"/>
      <c r="N6" s="14">
        <v>2023</v>
      </c>
      <c r="O6" s="15" t="s">
        <v>8</v>
      </c>
      <c r="P6" s="16" t="s">
        <v>9</v>
      </c>
      <c r="Q6" s="18"/>
      <c r="R6" s="19" t="s">
        <v>10</v>
      </c>
      <c r="S6" s="19" t="s">
        <v>11</v>
      </c>
    </row>
    <row r="7" spans="1:19" ht="16.5" thickBot="1">
      <c r="A7" s="1919"/>
      <c r="B7" s="1920"/>
      <c r="C7" s="1920"/>
      <c r="D7" s="1921"/>
      <c r="E7" s="1923"/>
      <c r="F7" s="1919"/>
      <c r="G7" s="1921"/>
      <c r="H7" s="20" t="s">
        <v>11</v>
      </c>
      <c r="J7" s="1709" t="s">
        <v>2088</v>
      </c>
      <c r="K7" s="22" t="str">
        <f>$H$5&amp;" value minus "&amp;$J$5&amp;" value"</f>
        <v>2025 Projection value minus 2023 Projection (as-filed) value</v>
      </c>
      <c r="L7" s="23" t="str">
        <f>"Change over "&amp;$J$5</f>
        <v>Change over 2023 Projection (as-filed)</v>
      </c>
      <c r="M7" s="17"/>
      <c r="N7" s="21" t="s">
        <v>2156</v>
      </c>
      <c r="O7" s="22" t="str">
        <f>$H$5&amp;" value minus "&amp;$N$5&amp;" value"</f>
        <v>2025 Projection value minus 2024 Projection (as-filed) value</v>
      </c>
      <c r="P7" s="23" t="str">
        <f>"Change over "&amp;$N$5</f>
        <v>Change over 2024 Projection (as-filed)</v>
      </c>
      <c r="Q7" s="24"/>
      <c r="R7" s="25" t="s">
        <v>12</v>
      </c>
      <c r="S7" s="25" t="s">
        <v>280</v>
      </c>
    </row>
    <row r="8" spans="1:19">
      <c r="Q8" s="26"/>
      <c r="R8" s="4"/>
    </row>
    <row r="9" spans="1:19" ht="15.75">
      <c r="A9" s="27" t="s">
        <v>13</v>
      </c>
      <c r="B9" s="28"/>
      <c r="C9" s="29"/>
      <c r="D9" s="29"/>
      <c r="E9" s="30"/>
      <c r="F9" s="31"/>
      <c r="G9" s="29"/>
      <c r="H9" s="32"/>
      <c r="J9" s="32"/>
      <c r="K9" s="32"/>
      <c r="L9" s="32"/>
      <c r="M9" s="2"/>
      <c r="N9" s="32"/>
      <c r="O9" s="32"/>
      <c r="P9" s="32"/>
      <c r="Q9" s="26"/>
      <c r="R9" s="33"/>
    </row>
    <row r="10" spans="1:19" ht="15.75">
      <c r="A10" s="34"/>
      <c r="B10" s="2"/>
      <c r="C10" s="2"/>
      <c r="D10" s="2"/>
      <c r="E10" s="35"/>
      <c r="F10" s="2"/>
      <c r="G10" s="2"/>
      <c r="H10" s="36"/>
      <c r="J10" s="36"/>
      <c r="K10" s="36"/>
      <c r="L10" s="36"/>
      <c r="M10" s="2"/>
      <c r="N10" s="36"/>
      <c r="O10" s="36"/>
      <c r="P10" s="36"/>
      <c r="Q10" s="26"/>
      <c r="R10" s="33"/>
    </row>
    <row r="11" spans="1:19" ht="15.75">
      <c r="A11" s="35"/>
      <c r="B11" s="17" t="s">
        <v>14</v>
      </c>
      <c r="C11" s="2"/>
      <c r="D11" s="2"/>
      <c r="E11" s="37"/>
      <c r="F11" s="38"/>
      <c r="G11" s="38"/>
      <c r="H11" s="38"/>
      <c r="J11" s="38"/>
      <c r="K11" s="38"/>
      <c r="L11" s="38"/>
      <c r="M11" s="2"/>
      <c r="N11" s="38"/>
      <c r="O11" s="38"/>
      <c r="P11" s="38"/>
      <c r="Q11" s="24"/>
      <c r="R11" s="33"/>
    </row>
    <row r="12" spans="1:19" ht="15.75">
      <c r="A12" s="39">
        <v>1</v>
      </c>
      <c r="B12" s="39"/>
      <c r="C12" s="2" t="s">
        <v>15</v>
      </c>
      <c r="D12" s="40"/>
      <c r="E12" s="39"/>
      <c r="F12" s="38" t="s">
        <v>16</v>
      </c>
      <c r="G12" s="2"/>
      <c r="H12" s="41">
        <f>INDEX(Inputs_EndYrBal,MATCH(F12,Inputs_FF1_Map,0))</f>
        <v>35328643</v>
      </c>
      <c r="I12" s="42"/>
      <c r="J12" s="43">
        <v>31337006</v>
      </c>
      <c r="K12" s="41">
        <f>$H12-J12</f>
        <v>3991637</v>
      </c>
      <c r="L12" s="44">
        <f>IF(J12=0,"n/m",K12/ABS(J12))</f>
        <v>0.12737773991554904</v>
      </c>
      <c r="M12" s="2"/>
      <c r="N12" s="43">
        <v>33170529</v>
      </c>
      <c r="O12" s="41">
        <f>$H12-N12</f>
        <v>2158114</v>
      </c>
      <c r="P12" s="44">
        <f>IF(N12=0,"n/m",O12/ABS(N12))</f>
        <v>6.5061187296711481E-2</v>
      </c>
      <c r="Q12" s="24"/>
      <c r="R12" s="33"/>
    </row>
    <row r="13" spans="1:19" ht="15.75">
      <c r="A13" s="39"/>
      <c r="B13" s="2"/>
      <c r="C13" s="2"/>
      <c r="D13" s="2"/>
      <c r="E13" s="39"/>
      <c r="F13" s="2"/>
      <c r="G13" s="2"/>
      <c r="H13" s="45"/>
      <c r="I13" s="46"/>
      <c r="J13" s="45"/>
      <c r="K13" s="45"/>
      <c r="L13" s="45"/>
      <c r="M13" s="2"/>
      <c r="N13" s="45"/>
      <c r="O13" s="45"/>
      <c r="P13" s="45"/>
      <c r="Q13" s="24"/>
      <c r="R13" s="33"/>
    </row>
    <row r="14" spans="1:19" ht="15.75">
      <c r="A14" s="39">
        <f>+A12+1</f>
        <v>2</v>
      </c>
      <c r="B14" s="39"/>
      <c r="C14" s="2" t="s">
        <v>17</v>
      </c>
      <c r="D14" s="2"/>
      <c r="E14" s="39"/>
      <c r="F14" s="2" t="s">
        <v>18</v>
      </c>
      <c r="G14" s="2"/>
      <c r="H14" s="41">
        <f>INDEX(Inputs_EndYrBal,MATCH(F14,Inputs_FF1_Map,0))</f>
        <v>418706742</v>
      </c>
      <c r="I14" s="42"/>
      <c r="J14" s="43">
        <v>365503661</v>
      </c>
      <c r="K14" s="41">
        <f>$H14-J14</f>
        <v>53203081</v>
      </c>
      <c r="L14" s="44">
        <f>IF(J14=0,"n/m",K14/ABS(J14))</f>
        <v>0.14556100711669753</v>
      </c>
      <c r="M14" s="2"/>
      <c r="N14" s="43">
        <v>386417387</v>
      </c>
      <c r="O14" s="41">
        <f>$H14-N14</f>
        <v>32289355</v>
      </c>
      <c r="P14" s="44">
        <f>IF(N14=0,"n/m",O14/ABS(N14))</f>
        <v>8.3560823312538987E-2</v>
      </c>
      <c r="Q14" s="24"/>
      <c r="R14" s="33"/>
    </row>
    <row r="15" spans="1:19" ht="15.75">
      <c r="A15" s="39">
        <f>+A14+1</f>
        <v>3</v>
      </c>
      <c r="B15" s="39"/>
      <c r="C15" s="2" t="s">
        <v>19</v>
      </c>
      <c r="D15" s="2"/>
      <c r="E15" s="39"/>
      <c r="F15" s="2" t="s">
        <v>20</v>
      </c>
      <c r="G15" s="2"/>
      <c r="H15" s="41">
        <f>INDEX(Inputs_EndYrBal,MATCH(F15,Inputs_FF1_Map,0))</f>
        <v>45609360</v>
      </c>
      <c r="I15" s="42"/>
      <c r="J15" s="43">
        <v>36895696</v>
      </c>
      <c r="K15" s="41">
        <f>$H15-J15</f>
        <v>8713664</v>
      </c>
      <c r="L15" s="44">
        <f>IF(J15=0,"n/m",K15/ABS(J15))</f>
        <v>0.23617020261658703</v>
      </c>
      <c r="M15" s="2"/>
      <c r="N15" s="43">
        <v>40158501</v>
      </c>
      <c r="O15" s="41">
        <f>$H15-N15</f>
        <v>5450859</v>
      </c>
      <c r="P15" s="44">
        <f>IF(N15=0,"n/m",O15/ABS(N15))</f>
        <v>0.13573362710923897</v>
      </c>
      <c r="Q15" s="24"/>
      <c r="R15" s="33"/>
    </row>
    <row r="16" spans="1:19" ht="15.75">
      <c r="A16" s="39">
        <f>+A15+1</f>
        <v>4</v>
      </c>
      <c r="B16" s="39"/>
      <c r="C16" s="47" t="s">
        <v>21</v>
      </c>
      <c r="D16" s="48"/>
      <c r="E16" s="49"/>
      <c r="F16" s="48" t="str">
        <f>"(Line "&amp;A14&amp;" - Line "&amp;A15&amp;")"</f>
        <v>(Line 2 - Line 3)</v>
      </c>
      <c r="G16" s="47"/>
      <c r="H16" s="50">
        <f>H14-H15</f>
        <v>373097382</v>
      </c>
      <c r="I16" s="42"/>
      <c r="J16" s="1710">
        <v>328607965</v>
      </c>
      <c r="K16" s="51">
        <f>$H16-J16</f>
        <v>44489417</v>
      </c>
      <c r="L16" s="52">
        <f>IF(J16=0,"n/m",K16/ABS(J16))</f>
        <v>0.1353875186805043</v>
      </c>
      <c r="M16" s="2"/>
      <c r="N16" s="50">
        <v>346258886</v>
      </c>
      <c r="O16" s="51">
        <f>$H16-N16</f>
        <v>26838496</v>
      </c>
      <c r="P16" s="52">
        <f>IF(N16=0,"n/m",O16/ABS(N16))</f>
        <v>7.750991262647336E-2</v>
      </c>
      <c r="Q16" s="24"/>
      <c r="R16" s="33"/>
    </row>
    <row r="17" spans="1:18" ht="15.75">
      <c r="A17" s="39"/>
      <c r="B17" s="39"/>
      <c r="C17" s="2"/>
      <c r="D17" s="2"/>
      <c r="E17" s="37"/>
      <c r="F17" s="2"/>
      <c r="G17" s="2"/>
      <c r="H17" s="38"/>
      <c r="J17" s="38"/>
      <c r="K17" s="38"/>
      <c r="L17" s="38"/>
      <c r="M17" s="2"/>
      <c r="N17" s="38"/>
      <c r="O17" s="38"/>
      <c r="P17" s="38"/>
      <c r="Q17" s="24"/>
      <c r="R17" s="33"/>
    </row>
    <row r="18" spans="1:18" ht="16.5" thickBot="1">
      <c r="A18" s="39">
        <f>A16+1</f>
        <v>5</v>
      </c>
      <c r="B18" s="53" t="s">
        <v>22</v>
      </c>
      <c r="C18" s="53"/>
      <c r="D18" s="54"/>
      <c r="E18" s="55"/>
      <c r="F18" s="56" t="str">
        <f>"(Line "&amp;A12&amp;" / Line "&amp;A16&amp;")"</f>
        <v>(Line 1 / Line 4)</v>
      </c>
      <c r="G18" s="54"/>
      <c r="H18" s="57">
        <f>H12/H16</f>
        <v>9.4690139101538909E-2</v>
      </c>
      <c r="I18" s="42"/>
      <c r="J18" s="1711">
        <v>9.5362892375417618E-2</v>
      </c>
      <c r="K18" s="58">
        <f>$H18-J18</f>
        <v>-6.7275327387870953E-4</v>
      </c>
      <c r="L18" s="59">
        <f>IF(J18=0,"n/m",K18/ABS(J18))</f>
        <v>-7.0546651545578543E-3</v>
      </c>
      <c r="M18" s="2"/>
      <c r="N18" s="57">
        <v>9.5796903245394263E-2</v>
      </c>
      <c r="O18" s="58">
        <f>$H18-N18</f>
        <v>-1.1067641438553544E-3</v>
      </c>
      <c r="P18" s="59">
        <f>IF(N18=0,"n/m",O18/ABS(N18))</f>
        <v>-1.1553235087571221E-2</v>
      </c>
      <c r="Q18" s="24"/>
      <c r="R18" s="33"/>
    </row>
    <row r="19" spans="1:18" ht="16.5" thickTop="1">
      <c r="A19" s="39"/>
      <c r="B19" s="39"/>
      <c r="C19" s="17"/>
      <c r="D19" s="2"/>
      <c r="E19" s="37"/>
      <c r="F19" s="2"/>
      <c r="G19" s="2"/>
      <c r="H19" s="60"/>
      <c r="J19" s="60"/>
      <c r="K19" s="60"/>
      <c r="L19" s="60"/>
      <c r="M19" s="2"/>
      <c r="N19" s="60"/>
      <c r="O19" s="60"/>
      <c r="P19" s="60"/>
      <c r="Q19" s="24"/>
      <c r="R19" s="33"/>
    </row>
    <row r="20" spans="1:18" ht="15.75">
      <c r="A20" s="39"/>
      <c r="B20" s="17" t="s">
        <v>23</v>
      </c>
      <c r="C20" s="2"/>
      <c r="D20" s="2"/>
      <c r="E20" s="39"/>
      <c r="F20" s="2"/>
      <c r="G20" s="2"/>
      <c r="H20" s="2"/>
      <c r="J20" s="2"/>
      <c r="K20" s="2"/>
      <c r="L20" s="2"/>
      <c r="M20" s="2"/>
      <c r="N20" s="2"/>
      <c r="O20" s="2"/>
      <c r="P20" s="2"/>
      <c r="Q20" s="24"/>
      <c r="R20" s="33"/>
    </row>
    <row r="21" spans="1:18" ht="15.75">
      <c r="A21" s="39">
        <f>+A18+1</f>
        <v>6</v>
      </c>
      <c r="B21" s="2"/>
      <c r="C21" s="2" t="s">
        <v>24</v>
      </c>
      <c r="D21" s="2"/>
      <c r="E21" s="61" t="str">
        <f>"(Note "&amp;B$322&amp;")"</f>
        <v>(Note M)</v>
      </c>
      <c r="F21" s="2" t="s">
        <v>25</v>
      </c>
      <c r="G21" s="2"/>
      <c r="H21" s="45">
        <f>'Att 5 - Cost Support'!G68</f>
        <v>37695272575.799995</v>
      </c>
      <c r="J21" s="43">
        <v>32613267700.739998</v>
      </c>
      <c r="K21" s="41">
        <f>$H21-J21</f>
        <v>5082004875.0599976</v>
      </c>
      <c r="L21" s="44">
        <f>IF(J21=0,"n/m",K21/ABS(J21))</f>
        <v>0.15582630117572324</v>
      </c>
      <c r="M21" s="2"/>
      <c r="N21" s="43">
        <v>33588422847.809998</v>
      </c>
      <c r="O21" s="41">
        <f>$H21-N21</f>
        <v>4106849727.9899979</v>
      </c>
      <c r="P21" s="44">
        <f>IF(N21=0,"n/m",O21/ABS(N21))</f>
        <v>0.12226979952581397</v>
      </c>
      <c r="Q21" s="24"/>
      <c r="R21" s="33"/>
    </row>
    <row r="22" spans="1:18" ht="15.75">
      <c r="A22" s="39"/>
      <c r="B22" s="2"/>
      <c r="C22" s="2"/>
      <c r="D22" s="2"/>
      <c r="E22" s="39"/>
      <c r="F22" s="2"/>
      <c r="G22" s="2"/>
      <c r="H22" s="45"/>
      <c r="J22" s="45"/>
      <c r="K22" s="45"/>
      <c r="L22" s="45"/>
      <c r="M22" s="2"/>
      <c r="N22" s="45"/>
      <c r="O22" s="45"/>
      <c r="P22" s="45"/>
      <c r="Q22" s="24"/>
      <c r="R22" s="33"/>
    </row>
    <row r="23" spans="1:18" ht="15.75">
      <c r="A23" s="39">
        <f>A21+1</f>
        <v>7</v>
      </c>
      <c r="B23" s="2"/>
      <c r="C23" s="2" t="s">
        <v>26</v>
      </c>
      <c r="D23" s="2"/>
      <c r="E23" s="61" t="str">
        <f>"(Note "&amp;B$322&amp;")"</f>
        <v>(Note M)</v>
      </c>
      <c r="F23" s="2" t="s">
        <v>25</v>
      </c>
      <c r="G23" s="2"/>
      <c r="H23" s="45">
        <f>'Att 5 - Cost Support'!$G$132</f>
        <v>12839089471.450001</v>
      </c>
      <c r="J23" s="43">
        <v>11341119101.1</v>
      </c>
      <c r="K23" s="41">
        <f>$H23-J23</f>
        <v>1497970370.3500004</v>
      </c>
      <c r="L23" s="44">
        <f>IF(J23=0,"n/m",K23/ABS(J23))</f>
        <v>0.13208311781195464</v>
      </c>
      <c r="M23" s="2"/>
      <c r="N23" s="43">
        <v>12025766875.200001</v>
      </c>
      <c r="O23" s="41">
        <f>$H23-N23</f>
        <v>813322596.25</v>
      </c>
      <c r="P23" s="44">
        <f>IF(N23=0,"n/m",O23/ABS(N23))</f>
        <v>6.7631661638748813E-2</v>
      </c>
      <c r="Q23" s="24"/>
      <c r="R23" s="33"/>
    </row>
    <row r="24" spans="1:18" ht="15.75">
      <c r="A24" s="39">
        <f>+A23+1</f>
        <v>8</v>
      </c>
      <c r="B24" s="2"/>
      <c r="C24" s="2" t="s">
        <v>27</v>
      </c>
      <c r="D24" s="2"/>
      <c r="E24" s="61" t="str">
        <f>"(Note "&amp;B$323&amp;")"</f>
        <v>(Note N)</v>
      </c>
      <c r="F24" s="38" t="s">
        <v>25</v>
      </c>
      <c r="G24" s="2"/>
      <c r="H24" s="45">
        <f>'Att 5 - Cost Support'!G109</f>
        <v>843345229.96000004</v>
      </c>
      <c r="J24" s="43">
        <v>736465710.75999999</v>
      </c>
      <c r="K24" s="41">
        <f>$H24-J24</f>
        <v>106879519.20000005</v>
      </c>
      <c r="L24" s="44">
        <f>IF(J24=0,"n/m",K24/ABS(J24))</f>
        <v>0.14512490892441565</v>
      </c>
      <c r="N24" s="43">
        <v>781734972.19000006</v>
      </c>
      <c r="O24" s="41">
        <f>$H24-N24</f>
        <v>61610257.769999981</v>
      </c>
      <c r="P24" s="44">
        <f>IF(N24=0,"n/m",O24/ABS(N24))</f>
        <v>7.8812206133494642E-2</v>
      </c>
      <c r="Q24" s="24"/>
      <c r="R24" s="33"/>
    </row>
    <row r="25" spans="1:18" ht="15.75">
      <c r="A25" s="39">
        <f>A24+1</f>
        <v>9</v>
      </c>
      <c r="B25" s="2"/>
      <c r="C25" s="47" t="s">
        <v>28</v>
      </c>
      <c r="D25" s="47"/>
      <c r="E25" s="62"/>
      <c r="F25" s="48" t="str">
        <f>"(Line "&amp;A23&amp;" + "&amp;A24&amp;")"</f>
        <v>(Line 7 + 8)</v>
      </c>
      <c r="G25" s="47"/>
      <c r="H25" s="50">
        <f>SUM(H23:H24)</f>
        <v>13682434701.41</v>
      </c>
      <c r="J25" s="1710">
        <v>12077584811.860001</v>
      </c>
      <c r="K25" s="51">
        <f>$H25-J25</f>
        <v>1604849889.5499992</v>
      </c>
      <c r="L25" s="52">
        <f>IF(J25=0,"n/m",K25/ABS(J25))</f>
        <v>0.1328783787942488</v>
      </c>
      <c r="M25" s="2"/>
      <c r="N25" s="50">
        <v>12807501847.390001</v>
      </c>
      <c r="O25" s="51">
        <f>$H25-N25</f>
        <v>874932854.01999855</v>
      </c>
      <c r="P25" s="52">
        <f>IF(N25=0,"n/m",O25/ABS(N25))</f>
        <v>6.8314091572690125E-2</v>
      </c>
      <c r="Q25" s="24"/>
      <c r="R25" s="33"/>
    </row>
    <row r="26" spans="1:18" ht="15.75">
      <c r="A26" s="39"/>
      <c r="B26" s="2"/>
      <c r="C26" s="2"/>
      <c r="D26" s="2"/>
      <c r="E26" s="39"/>
      <c r="F26" s="38"/>
      <c r="G26" s="2"/>
      <c r="H26" s="45"/>
      <c r="J26" s="45"/>
      <c r="K26" s="45"/>
      <c r="L26" s="45"/>
      <c r="M26" s="2"/>
      <c r="N26" s="45"/>
      <c r="O26" s="45"/>
      <c r="P26" s="45"/>
      <c r="Q26" s="24"/>
      <c r="R26" s="33"/>
    </row>
    <row r="27" spans="1:18" ht="15.75">
      <c r="A27" s="39">
        <f>+A25+1</f>
        <v>10</v>
      </c>
      <c r="B27" s="2"/>
      <c r="C27" s="47" t="s">
        <v>29</v>
      </c>
      <c r="D27" s="47"/>
      <c r="E27" s="62"/>
      <c r="F27" s="48" t="str">
        <f>"(Line "&amp;A21&amp;" - Line "&amp;A25&amp;")"</f>
        <v>(Line 6 - Line 9)</v>
      </c>
      <c r="G27" s="47"/>
      <c r="H27" s="50">
        <f>H21-H25</f>
        <v>24012837874.389996</v>
      </c>
      <c r="J27" s="1710">
        <v>20535682888.879997</v>
      </c>
      <c r="K27" s="51">
        <f>$H27-J27</f>
        <v>3477154985.5099983</v>
      </c>
      <c r="L27" s="52">
        <f>IF(J27=0,"n/m",K27/ABS(J27))</f>
        <v>0.16932258860468019</v>
      </c>
      <c r="M27" s="2"/>
      <c r="N27" s="50">
        <v>20780921000.419998</v>
      </c>
      <c r="O27" s="51">
        <f>$H27-N27</f>
        <v>3231916873.9699974</v>
      </c>
      <c r="P27" s="52">
        <f>IF(N27=0,"n/m",O27/ABS(N27))</f>
        <v>0.15552327415636091</v>
      </c>
      <c r="Q27" s="24"/>
      <c r="R27" s="33"/>
    </row>
    <row r="28" spans="1:18" ht="15.75">
      <c r="A28" s="39"/>
      <c r="B28" s="2"/>
      <c r="C28" s="2"/>
      <c r="D28" s="2"/>
      <c r="E28" s="39"/>
      <c r="F28" s="2"/>
      <c r="G28" s="2"/>
      <c r="H28" s="45"/>
      <c r="J28" s="45"/>
      <c r="K28" s="45"/>
      <c r="L28" s="45"/>
      <c r="M28" s="2"/>
      <c r="N28" s="45"/>
      <c r="O28" s="45"/>
      <c r="P28" s="45"/>
      <c r="Q28" s="24"/>
      <c r="R28" s="33"/>
    </row>
    <row r="29" spans="1:18" ht="15.75">
      <c r="A29" s="39">
        <f>+A27+1</f>
        <v>11</v>
      </c>
      <c r="B29" s="2"/>
      <c r="C29" s="2" t="s">
        <v>30</v>
      </c>
      <c r="D29" s="2"/>
      <c r="E29" s="39"/>
      <c r="F29" s="63" t="str">
        <f>"(Line "&amp;A50&amp;" - Line "&amp;A48&amp;")"</f>
        <v>(Line 24 - Line 23)</v>
      </c>
      <c r="G29" s="2"/>
      <c r="H29" s="45">
        <f>H50-H48</f>
        <v>11541114506.667797</v>
      </c>
      <c r="J29" s="45">
        <v>8408642456.0705633</v>
      </c>
      <c r="K29" s="64">
        <f>$H29-J29</f>
        <v>3132472050.5972338</v>
      </c>
      <c r="L29" s="65">
        <f>IF(J29=0,"n/m",K29/ABS(J29))</f>
        <v>0.37253005666042638</v>
      </c>
      <c r="M29" s="2"/>
      <c r="N29" s="45">
        <v>9127003661.6339531</v>
      </c>
      <c r="O29" s="64">
        <f>$H29-N29</f>
        <v>2414110845.033844</v>
      </c>
      <c r="P29" s="65">
        <f>IF(N29=0,"n/m",O29/ABS(N29))</f>
        <v>0.26450201342437724</v>
      </c>
      <c r="Q29" s="24"/>
      <c r="R29" s="33"/>
    </row>
    <row r="30" spans="1:18" ht="16.5" thickBot="1">
      <c r="A30" s="39">
        <f>+A29+1</f>
        <v>12</v>
      </c>
      <c r="B30" s="53" t="s">
        <v>31</v>
      </c>
      <c r="C30" s="53"/>
      <c r="D30" s="54"/>
      <c r="E30" s="66"/>
      <c r="F30" s="56" t="str">
        <f>"(Line "&amp;A29&amp;" / Line "&amp;A21&amp;")"</f>
        <v>(Line 11 / Line 6)</v>
      </c>
      <c r="G30" s="54"/>
      <c r="H30" s="57">
        <f>H29/H21</f>
        <v>0.30616875056309001</v>
      </c>
      <c r="J30" s="1711">
        <v>0.25782888526315229</v>
      </c>
      <c r="K30" s="58">
        <f>$H30-J30</f>
        <v>4.8339865299937723E-2</v>
      </c>
      <c r="L30" s="59">
        <f>IF(J30=0,"n/m",K30/ABS(J30))</f>
        <v>0.18748816778461336</v>
      </c>
      <c r="M30" s="2"/>
      <c r="N30" s="57">
        <v>0.27173064073263098</v>
      </c>
      <c r="O30" s="58">
        <f>$H30-N30</f>
        <v>3.4438109830459029E-2</v>
      </c>
      <c r="P30" s="59">
        <f>IF(N30=0,"n/m",O30/ABS(N30))</f>
        <v>0.12673620368173483</v>
      </c>
      <c r="Q30" s="24"/>
      <c r="R30" s="33"/>
    </row>
    <row r="31" spans="1:18" ht="16.5" thickTop="1">
      <c r="A31" s="39"/>
      <c r="B31" s="2"/>
      <c r="C31" s="2"/>
      <c r="D31" s="2"/>
      <c r="E31" s="39"/>
      <c r="F31" s="2"/>
      <c r="G31" s="2"/>
      <c r="H31" s="2"/>
      <c r="J31" s="2"/>
      <c r="K31" s="2"/>
      <c r="L31" s="2"/>
      <c r="M31" s="2"/>
      <c r="N31" s="2"/>
      <c r="O31" s="2"/>
      <c r="P31" s="2"/>
      <c r="Q31" s="24"/>
      <c r="R31" s="33"/>
    </row>
    <row r="32" spans="1:18" ht="15.75">
      <c r="A32" s="39">
        <f>+A30+1</f>
        <v>13</v>
      </c>
      <c r="B32" s="39"/>
      <c r="C32" s="2" t="s">
        <v>32</v>
      </c>
      <c r="D32" s="2"/>
      <c r="E32" s="37"/>
      <c r="F32" s="63" t="str">
        <f>"(Line "&amp;A64&amp;" - Line "&amp;A48&amp;")"</f>
        <v>(Line 32 - Line 23)</v>
      </c>
      <c r="G32" s="2"/>
      <c r="H32" s="45">
        <f>H64-H48</f>
        <v>9024734193.0316982</v>
      </c>
      <c r="J32" s="45">
        <v>6138445732.2560644</v>
      </c>
      <c r="K32" s="64">
        <f>$H32-J32</f>
        <v>2886288460.7756338</v>
      </c>
      <c r="L32" s="65">
        <f>IF(J32=0,"n/m",K32/ABS(J32))</f>
        <v>0.47019857903261703</v>
      </c>
      <c r="M32" s="2"/>
      <c r="N32" s="45">
        <v>6738083149.6034575</v>
      </c>
      <c r="O32" s="64">
        <f>$H32-N32</f>
        <v>2286651043.4282408</v>
      </c>
      <c r="P32" s="65">
        <f>IF(N32=0,"n/m",O32/ABS(N32))</f>
        <v>0.33936224778746049</v>
      </c>
      <c r="Q32" s="24"/>
      <c r="R32" s="33"/>
    </row>
    <row r="33" spans="1:18" ht="16.5" thickBot="1">
      <c r="A33" s="39">
        <f>+A32+1</f>
        <v>14</v>
      </c>
      <c r="B33" s="53" t="s">
        <v>33</v>
      </c>
      <c r="C33" s="53"/>
      <c r="D33" s="54"/>
      <c r="E33" s="66"/>
      <c r="F33" s="56" t="str">
        <f>"(Line "&amp;A32&amp;" / Line "&amp;A27&amp;")"</f>
        <v>(Line 13 / Line 10)</v>
      </c>
      <c r="G33" s="54"/>
      <c r="H33" s="57">
        <f>H32/H27</f>
        <v>0.37582955585006861</v>
      </c>
      <c r="J33" s="1711">
        <v>0.29891607527597791</v>
      </c>
      <c r="K33" s="58">
        <f>$H33-J33</f>
        <v>7.6913480574090698E-2</v>
      </c>
      <c r="L33" s="59">
        <f>IF(J33=0,"n/m",K33/ABS(J33))</f>
        <v>0.25730794338537794</v>
      </c>
      <c r="M33" s="2"/>
      <c r="N33" s="57">
        <v>0.32424372093360421</v>
      </c>
      <c r="O33" s="58">
        <f>$H33-N33</f>
        <v>5.1585834916464401E-2</v>
      </c>
      <c r="P33" s="59">
        <f>IF(N33=0,"n/m",O33/ABS(N33))</f>
        <v>0.15909586396286052</v>
      </c>
      <c r="Q33" s="24"/>
      <c r="R33" s="33"/>
    </row>
    <row r="34" spans="1:18" ht="16.5" thickTop="1">
      <c r="A34" s="34"/>
      <c r="B34" s="39"/>
      <c r="C34" s="17"/>
      <c r="D34" s="2"/>
      <c r="E34" s="37"/>
      <c r="F34" s="2"/>
      <c r="G34" s="2"/>
      <c r="H34" s="60"/>
      <c r="J34" s="60"/>
      <c r="K34" s="60"/>
      <c r="L34" s="60"/>
      <c r="M34" s="2"/>
      <c r="N34" s="60"/>
      <c r="O34" s="60"/>
      <c r="P34" s="60"/>
      <c r="Q34" s="24"/>
      <c r="R34" s="33"/>
    </row>
    <row r="35" spans="1:18" ht="15.75">
      <c r="A35" s="27" t="s">
        <v>34</v>
      </c>
      <c r="B35" s="28"/>
      <c r="C35" s="29"/>
      <c r="D35" s="29"/>
      <c r="E35" s="67"/>
      <c r="F35" s="29"/>
      <c r="G35" s="29"/>
      <c r="H35" s="68"/>
      <c r="J35" s="68">
        <v>0</v>
      </c>
      <c r="K35" s="68"/>
      <c r="L35" s="68"/>
      <c r="M35" s="2"/>
      <c r="N35" s="68">
        <v>0</v>
      </c>
      <c r="O35" s="68"/>
      <c r="P35" s="68"/>
      <c r="Q35" s="24"/>
      <c r="R35" s="33"/>
    </row>
    <row r="36" spans="1:18" ht="15.75">
      <c r="A36" s="69"/>
      <c r="B36" s="70"/>
      <c r="C36" s="2"/>
      <c r="D36" s="2"/>
      <c r="E36" s="35"/>
      <c r="F36" s="2"/>
      <c r="G36" s="2"/>
      <c r="H36" s="36"/>
      <c r="J36" s="36"/>
      <c r="K36" s="36"/>
      <c r="L36" s="36"/>
      <c r="M36" s="2"/>
      <c r="N36" s="36"/>
      <c r="O36" s="36"/>
      <c r="P36" s="36"/>
      <c r="Q36" s="24"/>
      <c r="R36" s="33"/>
    </row>
    <row r="37" spans="1:18" ht="15.75">
      <c r="A37" s="39"/>
      <c r="B37" s="17" t="s">
        <v>35</v>
      </c>
      <c r="C37" s="2"/>
      <c r="D37" s="2"/>
      <c r="E37" s="37"/>
      <c r="F37" s="38"/>
      <c r="G37" s="35"/>
      <c r="H37" s="38"/>
      <c r="J37" s="38"/>
      <c r="K37" s="38"/>
      <c r="L37" s="38"/>
      <c r="M37" s="2"/>
      <c r="N37" s="38"/>
      <c r="O37" s="38"/>
      <c r="P37" s="38"/>
      <c r="Q37" s="24"/>
      <c r="R37" s="33"/>
    </row>
    <row r="38" spans="1:18" ht="15.75">
      <c r="A38" s="39">
        <f>+A33+1</f>
        <v>15</v>
      </c>
      <c r="B38" s="39"/>
      <c r="C38" s="2" t="s">
        <v>36</v>
      </c>
      <c r="D38" s="2"/>
      <c r="E38" s="61" t="str">
        <f>"(Note "&amp;B$322&amp;")"</f>
        <v>(Note M)</v>
      </c>
      <c r="F38" s="38" t="s">
        <v>25</v>
      </c>
      <c r="G38" s="2"/>
      <c r="H38" s="45">
        <f>'Att 5 - Cost Support'!G20</f>
        <v>10991371603.610001</v>
      </c>
      <c r="J38" s="43">
        <v>8046307901.6800003</v>
      </c>
      <c r="K38" s="41">
        <f>$H38-J38</f>
        <v>2945063701.9300003</v>
      </c>
      <c r="L38" s="44">
        <f>IF(J38=0,"n/m",K38/ABS(J38))</f>
        <v>0.3660142935016315</v>
      </c>
      <c r="M38" s="2"/>
      <c r="N38" s="43">
        <v>8211445572.1400013</v>
      </c>
      <c r="O38" s="41">
        <f>$H38-N38</f>
        <v>2779926031.4699993</v>
      </c>
      <c r="P38" s="44">
        <f>IF(N38=0,"n/m",O38/ABS(N38))</f>
        <v>0.33854283110659616</v>
      </c>
      <c r="Q38" s="24"/>
      <c r="R38" s="33"/>
    </row>
    <row r="39" spans="1:18" ht="15.75">
      <c r="A39" s="39">
        <f>+A38+1</f>
        <v>16</v>
      </c>
      <c r="B39" s="39"/>
      <c r="C39" s="71" t="s">
        <v>37</v>
      </c>
      <c r="D39" s="71"/>
      <c r="E39" s="72" t="str">
        <f>"(Notes "&amp;B$300&amp;" &amp; "&amp;B325&amp;")"</f>
        <v>(Notes A &amp; P)</v>
      </c>
      <c r="F39" s="73" t="s">
        <v>38</v>
      </c>
      <c r="G39" s="71"/>
      <c r="H39" s="74">
        <f>IF(Toggle=Projection,'Att 6 - Est &amp; Reconcile WS'!W46,IF(Toggle=True_up,0,"Set Toggle!"))</f>
        <v>284544555.51043564</v>
      </c>
      <c r="J39" s="75">
        <v>114938772.58176212</v>
      </c>
      <c r="K39" s="41">
        <f>$H39-J39</f>
        <v>169605782.92867351</v>
      </c>
      <c r="L39" s="44">
        <f>IF(J39=0,"n/m",K39/ABS(J39))</f>
        <v>1.4756185325367366</v>
      </c>
      <c r="M39" s="2"/>
      <c r="N39" s="75">
        <v>659675512.40601659</v>
      </c>
      <c r="O39" s="41">
        <f>$H39-N39</f>
        <v>-375130956.89558095</v>
      </c>
      <c r="P39" s="44">
        <f>IF(N39=0,"n/m",O39/ABS(N39))</f>
        <v>-0.56865981810871835</v>
      </c>
      <c r="Q39" s="24"/>
      <c r="R39" s="33"/>
    </row>
    <row r="40" spans="1:18" ht="15.75">
      <c r="A40" s="39">
        <f>+A39+1</f>
        <v>17</v>
      </c>
      <c r="B40" s="39"/>
      <c r="C40" s="17" t="s">
        <v>39</v>
      </c>
      <c r="D40" s="2"/>
      <c r="E40" s="61"/>
      <c r="F40" s="38" t="str">
        <f>"(Line "&amp;A38&amp;" + Line "&amp;A39&amp;")"</f>
        <v>(Line 15 + Line 16)</v>
      </c>
      <c r="G40" s="2"/>
      <c r="H40" s="76">
        <f>H38+H39</f>
        <v>11275916159.120436</v>
      </c>
      <c r="J40" s="76">
        <v>8161246674.2617626</v>
      </c>
      <c r="K40" s="51">
        <f>$H40-J40</f>
        <v>3114669484.8586731</v>
      </c>
      <c r="L40" s="52">
        <f>IF(J40=0,"n/m",K40/ABS(J40))</f>
        <v>0.38164138509395257</v>
      </c>
      <c r="M40" s="2"/>
      <c r="N40" s="76">
        <v>8871121084.5460186</v>
      </c>
      <c r="O40" s="51">
        <f>$H40-N40</f>
        <v>2404795074.5744171</v>
      </c>
      <c r="P40" s="52">
        <f>IF(N40=0,"n/m",O40/ABS(N40))</f>
        <v>0.27108130434198474</v>
      </c>
      <c r="Q40" s="24"/>
      <c r="R40" s="33"/>
    </row>
    <row r="41" spans="1:18" ht="15.75">
      <c r="A41" s="39"/>
      <c r="B41" s="39"/>
      <c r="C41" s="2"/>
      <c r="D41" s="2"/>
      <c r="E41" s="77"/>
      <c r="F41" s="38"/>
      <c r="G41" s="2"/>
      <c r="H41" s="45"/>
      <c r="J41" s="45"/>
      <c r="K41" s="45"/>
      <c r="L41" s="45"/>
      <c r="M41" s="2"/>
      <c r="N41" s="45"/>
      <c r="O41" s="45"/>
      <c r="P41" s="45"/>
      <c r="Q41" s="24"/>
      <c r="R41" s="33"/>
    </row>
    <row r="42" spans="1:18" ht="15.75">
      <c r="A42" s="39">
        <f>+A40+1</f>
        <v>18</v>
      </c>
      <c r="B42" s="39"/>
      <c r="C42" s="2" t="s">
        <v>40</v>
      </c>
      <c r="D42" s="2"/>
      <c r="E42" s="61" t="str">
        <f>"(Note "&amp;B$323&amp;")"</f>
        <v>(Note N)</v>
      </c>
      <c r="F42" s="38" t="s">
        <v>25</v>
      </c>
      <c r="G42" s="2"/>
      <c r="H42" s="45">
        <f>+'Att 5 - Cost Support'!G46</f>
        <v>1620848652.74</v>
      </c>
      <c r="J42" s="43">
        <v>1465275063.2200003</v>
      </c>
      <c r="K42" s="41">
        <f>$H42-J42</f>
        <v>155573589.51999974</v>
      </c>
      <c r="L42" s="44">
        <f>IF(J42=0,"n/m",K42/ABS(J42))</f>
        <v>0.10617364167661503</v>
      </c>
      <c r="M42" s="2"/>
      <c r="N42" s="43">
        <v>1537122608.9300003</v>
      </c>
      <c r="O42" s="41">
        <f>$H42-N42</f>
        <v>83726043.809999704</v>
      </c>
      <c r="P42" s="44">
        <f>IF(N42=0,"n/m",O42/ABS(N42))</f>
        <v>5.4469333365854189E-2</v>
      </c>
      <c r="Q42" s="24"/>
      <c r="R42" s="33"/>
    </row>
    <row r="43" spans="1:18" ht="15.75">
      <c r="A43" s="39">
        <f>A42+1</f>
        <v>19</v>
      </c>
      <c r="B43" s="39"/>
      <c r="C43" s="2" t="s">
        <v>41</v>
      </c>
      <c r="D43" s="2"/>
      <c r="E43" s="61" t="str">
        <f>"(Note "&amp;B$323&amp;")"</f>
        <v>(Note N)</v>
      </c>
      <c r="F43" s="63" t="s">
        <v>25</v>
      </c>
      <c r="G43" s="2"/>
      <c r="H43" s="45">
        <f>+'Att 5 - Cost Support'!G41</f>
        <v>1179847914.6500001</v>
      </c>
      <c r="J43" s="43">
        <v>1128981210.3299999</v>
      </c>
      <c r="K43" s="41">
        <f>$H43-J43</f>
        <v>50866704.320000172</v>
      </c>
      <c r="L43" s="44">
        <f>IF(J43=0,"n/m",K43/ABS(J43))</f>
        <v>4.5055403805287331E-2</v>
      </c>
      <c r="M43" s="2"/>
      <c r="N43" s="43">
        <v>1133971846.3099999</v>
      </c>
      <c r="O43" s="41">
        <f>$H43-N43</f>
        <v>45876068.340000153</v>
      </c>
      <c r="P43" s="44">
        <f>IF(N43=0,"n/m",O43/ABS(N43))</f>
        <v>4.0456091118384579E-2</v>
      </c>
      <c r="Q43" s="24"/>
      <c r="R43" s="33"/>
    </row>
    <row r="44" spans="1:18" ht="15.75">
      <c r="A44" s="39">
        <f>A43+1</f>
        <v>20</v>
      </c>
      <c r="B44" s="39"/>
      <c r="C44" s="47" t="s">
        <v>42</v>
      </c>
      <c r="D44" s="47"/>
      <c r="E44" s="62"/>
      <c r="F44" s="38" t="str">
        <f>"(Line "&amp;A42&amp;" + Line "&amp;A43&amp;")"</f>
        <v>(Line 18 + Line 19)</v>
      </c>
      <c r="G44" s="47"/>
      <c r="H44" s="50">
        <f>SUM(H42:H43)</f>
        <v>2800696567.3900003</v>
      </c>
      <c r="J44" s="1710">
        <v>2594256273.5500002</v>
      </c>
      <c r="K44" s="51">
        <f>$H44-J44</f>
        <v>206440293.84000015</v>
      </c>
      <c r="L44" s="52">
        <f>IF(J44=0,"n/m",K44/ABS(J44))</f>
        <v>7.9575906183511194E-2</v>
      </c>
      <c r="M44" s="2"/>
      <c r="N44" s="50">
        <v>2671094455.2400002</v>
      </c>
      <c r="O44" s="51">
        <f>$H44-N44</f>
        <v>129602112.1500001</v>
      </c>
      <c r="P44" s="52">
        <f>IF(N44=0,"n/m",O44/ABS(N44))</f>
        <v>4.852022806447525E-2</v>
      </c>
      <c r="Q44" s="24"/>
      <c r="R44" s="33"/>
    </row>
    <row r="45" spans="1:18" ht="15.75">
      <c r="A45" s="39">
        <f>+A44+1</f>
        <v>21</v>
      </c>
      <c r="B45" s="39"/>
      <c r="C45" s="73" t="s">
        <v>43</v>
      </c>
      <c r="D45" s="2"/>
      <c r="E45" s="37"/>
      <c r="F45" s="63" t="str">
        <f>"(Line "&amp;A$18&amp;")"</f>
        <v>(Line 5)</v>
      </c>
      <c r="G45" s="78"/>
      <c r="H45" s="79">
        <f>Allocator.wages.salary</f>
        <v>9.4690139101538909E-2</v>
      </c>
      <c r="J45" s="79">
        <v>9.5362892375417618E-2</v>
      </c>
      <c r="K45" s="79"/>
      <c r="L45" s="79"/>
      <c r="M45" s="2"/>
      <c r="N45" s="79">
        <v>9.5796903245394263E-2</v>
      </c>
      <c r="O45" s="79"/>
      <c r="P45" s="79"/>
      <c r="Q45" s="24"/>
      <c r="R45" s="33"/>
    </row>
    <row r="46" spans="1:18" ht="15.75">
      <c r="A46" s="39">
        <f>A45+1</f>
        <v>22</v>
      </c>
      <c r="B46" s="2"/>
      <c r="C46" s="2" t="s">
        <v>44</v>
      </c>
      <c r="D46" s="47"/>
      <c r="E46" s="49"/>
      <c r="F46" s="38" t="str">
        <f>"(Line "&amp;A44&amp;" * Line "&amp;A45&amp;")"</f>
        <v>(Line 20 * Line 21)</v>
      </c>
      <c r="G46" s="47"/>
      <c r="H46" s="50">
        <f>+H44*H45</f>
        <v>265198347.54736167</v>
      </c>
      <c r="J46" s="1710">
        <v>247395781.80880064</v>
      </c>
      <c r="K46" s="51">
        <f>$H46-J46</f>
        <v>17802565.738561034</v>
      </c>
      <c r="L46" s="52">
        <f>IF(J46=0,"n/m",K46/ABS(J46))</f>
        <v>7.1959859656458139E-2</v>
      </c>
      <c r="M46" s="2"/>
      <c r="N46" s="50">
        <v>255882577.08793539</v>
      </c>
      <c r="O46" s="51">
        <f>$H46-N46</f>
        <v>9315770.4594262838</v>
      </c>
      <c r="P46" s="52">
        <f>IF(N46=0,"n/m",O46/ABS(N46))</f>
        <v>3.6406427375572627E-2</v>
      </c>
      <c r="Q46" s="24"/>
      <c r="R46" s="33"/>
    </row>
    <row r="47" spans="1:18" ht="15.75">
      <c r="A47" s="39"/>
      <c r="B47" s="2"/>
      <c r="C47" s="17"/>
      <c r="D47" s="2"/>
      <c r="E47" s="80"/>
      <c r="F47" s="2"/>
      <c r="G47" s="2"/>
      <c r="H47" s="45"/>
      <c r="J47" s="45"/>
      <c r="K47" s="45"/>
      <c r="L47" s="45"/>
      <c r="M47" s="2"/>
      <c r="N47" s="45"/>
      <c r="O47" s="45"/>
      <c r="P47" s="45"/>
      <c r="Q47" s="24"/>
      <c r="R47" s="33"/>
    </row>
    <row r="48" spans="1:18" ht="15.75">
      <c r="A48" s="39">
        <f>+A46+1</f>
        <v>23</v>
      </c>
      <c r="B48" s="39"/>
      <c r="C48" s="81" t="s">
        <v>45</v>
      </c>
      <c r="D48" s="82"/>
      <c r="E48" s="61" t="str">
        <f>"(Notes "&amp;B$303&amp;" &amp; "&amp;B$320&amp;")"</f>
        <v>(Notes B &amp; L)</v>
      </c>
      <c r="F48" s="48" t="s">
        <v>25</v>
      </c>
      <c r="G48" s="47"/>
      <c r="H48" s="83">
        <f>'Att 5 - Cost Support'!I172</f>
        <v>1461372.2100000002</v>
      </c>
      <c r="J48" s="1712">
        <v>2112144.81</v>
      </c>
      <c r="K48" s="51">
        <f>$H48-J48</f>
        <v>-650772.59999999986</v>
      </c>
      <c r="L48" s="52">
        <f>IF(J48=0,"n/m",K48/ABS(J48))</f>
        <v>-0.30810984025285643</v>
      </c>
      <c r="M48" s="2"/>
      <c r="N48" s="84">
        <v>2112144.81</v>
      </c>
      <c r="O48" s="51">
        <f>$H48-N48</f>
        <v>-650772.59999999986</v>
      </c>
      <c r="P48" s="52">
        <f>IF(N48=0,"n/m",O48/ABS(N48))</f>
        <v>-0.30810984025285643</v>
      </c>
      <c r="Q48" s="24"/>
      <c r="R48" s="33"/>
    </row>
    <row r="49" spans="1:18" ht="15.75">
      <c r="A49" s="39"/>
      <c r="B49" s="2"/>
      <c r="C49" s="17"/>
      <c r="D49" s="2"/>
      <c r="E49" s="39"/>
      <c r="F49" s="2"/>
      <c r="G49" s="2"/>
      <c r="H49" s="45"/>
      <c r="J49" s="45"/>
      <c r="K49" s="45"/>
      <c r="L49" s="45"/>
      <c r="M49" s="2"/>
      <c r="N49" s="45"/>
      <c r="O49" s="45"/>
      <c r="P49" s="45"/>
      <c r="Q49" s="24"/>
      <c r="R49" s="33"/>
    </row>
    <row r="50" spans="1:18" ht="16.5" thickBot="1">
      <c r="A50" s="39">
        <f>+A48+1</f>
        <v>24</v>
      </c>
      <c r="B50" s="53" t="s">
        <v>46</v>
      </c>
      <c r="C50" s="53"/>
      <c r="D50" s="53"/>
      <c r="E50" s="85"/>
      <c r="F50" s="56" t="str">
        <f>"(Line "&amp;A40&amp;" + Line "&amp;A46&amp;" + Line "&amp;A48&amp;")"</f>
        <v>(Line 17 + Line 22 + Line 23)</v>
      </c>
      <c r="G50" s="53"/>
      <c r="H50" s="86">
        <f>H40+H46+H48</f>
        <v>11542575878.877796</v>
      </c>
      <c r="J50" s="1713">
        <v>8410754600.8805637</v>
      </c>
      <c r="K50" s="87">
        <f>$H50-J50</f>
        <v>3131821277.9972324</v>
      </c>
      <c r="L50" s="59">
        <f>IF(J50=0,"n/m",K50/ABS(J50))</f>
        <v>0.37235913144693894</v>
      </c>
      <c r="M50" s="17"/>
      <c r="N50" s="86">
        <v>9129115806.4439526</v>
      </c>
      <c r="O50" s="87">
        <f>$H50-N50</f>
        <v>2413460072.4338436</v>
      </c>
      <c r="P50" s="59">
        <f>IF(N50=0,"n/m",O50/ABS(N50))</f>
        <v>0.26436953190255941</v>
      </c>
      <c r="Q50" s="24"/>
      <c r="R50" s="33"/>
    </row>
    <row r="51" spans="1:18" ht="16.5" thickTop="1">
      <c r="A51" s="39"/>
      <c r="B51" s="2"/>
      <c r="C51" s="2"/>
      <c r="D51" s="2"/>
      <c r="E51" s="39"/>
      <c r="F51" s="2"/>
      <c r="G51" s="2"/>
      <c r="H51" s="45"/>
      <c r="J51" s="45"/>
      <c r="K51" s="45"/>
      <c r="L51" s="45"/>
      <c r="M51" s="2"/>
      <c r="N51" s="45"/>
      <c r="O51" s="45"/>
      <c r="P51" s="45"/>
      <c r="Q51" s="24"/>
      <c r="R51" s="33"/>
    </row>
    <row r="52" spans="1:18" ht="15.75">
      <c r="A52" s="39"/>
      <c r="B52" s="17" t="s">
        <v>47</v>
      </c>
      <c r="C52" s="17"/>
      <c r="D52" s="38"/>
      <c r="E52" s="37"/>
      <c r="F52" s="38"/>
      <c r="G52" s="88"/>
      <c r="H52" s="45"/>
      <c r="J52" s="45"/>
      <c r="K52" s="45"/>
      <c r="L52" s="45"/>
      <c r="M52" s="2"/>
      <c r="N52" s="45"/>
      <c r="O52" s="45"/>
      <c r="P52" s="45"/>
      <c r="Q52" s="24"/>
      <c r="R52" s="33"/>
    </row>
    <row r="53" spans="1:18" ht="15.75">
      <c r="A53" s="39"/>
      <c r="B53" s="2"/>
      <c r="C53" s="2"/>
      <c r="D53" s="2"/>
      <c r="E53" s="37"/>
      <c r="F53" s="38"/>
      <c r="G53" s="38"/>
      <c r="H53" s="45"/>
      <c r="J53" s="45"/>
      <c r="K53" s="45"/>
      <c r="L53" s="45"/>
      <c r="M53" s="2"/>
      <c r="N53" s="45"/>
      <c r="O53" s="45"/>
      <c r="P53" s="45"/>
      <c r="Q53" s="24"/>
      <c r="R53" s="33"/>
    </row>
    <row r="54" spans="1:18" ht="15.75">
      <c r="A54" s="39">
        <f>+A50+1</f>
        <v>25</v>
      </c>
      <c r="B54" s="39"/>
      <c r="C54" s="2" t="s">
        <v>48</v>
      </c>
      <c r="D54" s="2"/>
      <c r="E54" s="61" t="str">
        <f>"(Note "&amp;B$322&amp;")"</f>
        <v>(Note M)</v>
      </c>
      <c r="F54" s="38" t="s">
        <v>25</v>
      </c>
      <c r="G54" s="2"/>
      <c r="H54" s="76">
        <f>+'Att 5 - Cost Support'!G88</f>
        <v>2378284253.6000004</v>
      </c>
      <c r="J54" s="89">
        <v>2146075860.25</v>
      </c>
      <c r="K54" s="41">
        <f>$H54-J54</f>
        <v>232208393.35000038</v>
      </c>
      <c r="L54" s="44">
        <f>IF(J54=0,"n/m",K54/ABS(J54))</f>
        <v>0.10820139103701117</v>
      </c>
      <c r="M54" s="2"/>
      <c r="N54" s="89">
        <v>2258536003.6800003</v>
      </c>
      <c r="O54" s="41">
        <f>$H54-N54</f>
        <v>119748249.92000008</v>
      </c>
      <c r="P54" s="44">
        <f>IF(N54=0,"n/m",O54/ABS(N54))</f>
        <v>5.3020297097272469E-2</v>
      </c>
      <c r="Q54" s="24"/>
      <c r="R54" s="33"/>
    </row>
    <row r="55" spans="1:18" ht="15.75">
      <c r="A55" s="39"/>
      <c r="B55" s="39"/>
      <c r="C55" s="2"/>
      <c r="D55" s="2"/>
      <c r="E55" s="61"/>
      <c r="F55" s="38"/>
      <c r="G55" s="2"/>
      <c r="H55" s="45"/>
      <c r="J55" s="45">
        <v>0</v>
      </c>
      <c r="K55" s="45"/>
      <c r="L55" s="45"/>
      <c r="M55" s="2"/>
      <c r="N55" s="45"/>
      <c r="O55" s="45"/>
      <c r="P55" s="45"/>
      <c r="Q55" s="24"/>
      <c r="R55" s="33"/>
    </row>
    <row r="56" spans="1:18" ht="15.75">
      <c r="A56" s="39">
        <f>A54+1</f>
        <v>26</v>
      </c>
      <c r="B56" s="39"/>
      <c r="C56" s="2" t="s">
        <v>49</v>
      </c>
      <c r="D56" s="2"/>
      <c r="E56" s="61" t="str">
        <f>"(Note "&amp;B323&amp;")"</f>
        <v>(Note N)</v>
      </c>
      <c r="F56" s="38" t="s">
        <v>25</v>
      </c>
      <c r="G56" s="2"/>
      <c r="H56" s="45">
        <f>+'Att 5 - Cost Support'!G114</f>
        <v>615054359.97000003</v>
      </c>
      <c r="J56" s="43">
        <v>565097826.92999995</v>
      </c>
      <c r="K56" s="41">
        <f>$H56-J56</f>
        <v>49956533.040000081</v>
      </c>
      <c r="L56" s="44">
        <f>IF(J56=0,"n/m",K56/ABS(J56))</f>
        <v>8.8403335952286929E-2</v>
      </c>
      <c r="M56" s="2"/>
      <c r="N56" s="43">
        <v>579316418.12999988</v>
      </c>
      <c r="O56" s="41">
        <f>$H56-N56</f>
        <v>35737941.840000153</v>
      </c>
      <c r="P56" s="44">
        <f>IF(N56=0,"n/m",O56/ABS(N56))</f>
        <v>6.1689848106428913E-2</v>
      </c>
      <c r="Q56" s="24"/>
      <c r="R56" s="33"/>
    </row>
    <row r="57" spans="1:18" ht="15.75">
      <c r="A57" s="90">
        <f>+A56+1</f>
        <v>27</v>
      </c>
      <c r="B57" s="39"/>
      <c r="C57" s="71" t="str">
        <f>+C24</f>
        <v>Accumulated Amortization</v>
      </c>
      <c r="D57" s="71"/>
      <c r="E57" s="72" t="str">
        <f>"(Note "&amp;B$323&amp;")"</f>
        <v>(Note N)</v>
      </c>
      <c r="F57" s="63" t="str">
        <f>"(Line "&amp;A$24&amp;")"</f>
        <v>(Line 8)</v>
      </c>
      <c r="G57" s="71"/>
      <c r="H57" s="74">
        <f>H24</f>
        <v>843345229.96000004</v>
      </c>
      <c r="J57" s="74">
        <v>736465710.75999999</v>
      </c>
      <c r="K57" s="41">
        <f>$H57-J57</f>
        <v>106879519.20000005</v>
      </c>
      <c r="L57" s="44">
        <f>IF(J57=0,"n/m",K57/ABS(J57))</f>
        <v>0.14512490892441565</v>
      </c>
      <c r="M57" s="2"/>
      <c r="N57" s="74">
        <v>781734972.19000006</v>
      </c>
      <c r="O57" s="41">
        <f>$H57-N57</f>
        <v>61610257.769999981</v>
      </c>
      <c r="P57" s="44">
        <f>IF(N57=0,"n/m",O57/ABS(N57))</f>
        <v>7.8812206133494642E-2</v>
      </c>
      <c r="Q57" s="24"/>
      <c r="R57" s="33"/>
    </row>
    <row r="58" spans="1:18" ht="15.75">
      <c r="A58" s="39">
        <f>A57+1</f>
        <v>28</v>
      </c>
      <c r="B58" s="39"/>
      <c r="C58" s="47" t="s">
        <v>50</v>
      </c>
      <c r="D58" s="2"/>
      <c r="E58" s="37"/>
      <c r="F58" s="38" t="str">
        <f>"(Line "&amp;A56&amp;" + "&amp;A57&amp;")"</f>
        <v>(Line 26 + 27)</v>
      </c>
      <c r="G58" s="38"/>
      <c r="H58" s="45">
        <f>+H56+H57</f>
        <v>1458399589.9300001</v>
      </c>
      <c r="J58" s="45">
        <v>1301563537.6900001</v>
      </c>
      <c r="K58" s="51">
        <f>$H58-J58</f>
        <v>156836052.24000001</v>
      </c>
      <c r="L58" s="52">
        <f>IF(J58=0,"n/m",K58/ABS(J58))</f>
        <v>0.12049819136632456</v>
      </c>
      <c r="M58" s="2"/>
      <c r="N58" s="45">
        <v>1361051390.3199999</v>
      </c>
      <c r="O58" s="51">
        <f>$H58-N58</f>
        <v>97348199.610000134</v>
      </c>
      <c r="P58" s="52">
        <f>IF(N58=0,"n/m",O58/ABS(N58))</f>
        <v>7.1524264478442928E-2</v>
      </c>
      <c r="Q58" s="24"/>
      <c r="R58" s="33"/>
    </row>
    <row r="59" spans="1:18" ht="15.75">
      <c r="A59" s="39">
        <f>+A58+1</f>
        <v>29</v>
      </c>
      <c r="B59" s="39"/>
      <c r="C59" s="2" t="str">
        <f>+C45</f>
        <v>Wage &amp; Salary Allocator</v>
      </c>
      <c r="D59" s="2"/>
      <c r="E59" s="37"/>
      <c r="F59" s="63" t="str">
        <f>"(Line "&amp;A$18&amp;")"</f>
        <v>(Line 5)</v>
      </c>
      <c r="G59" s="38"/>
      <c r="H59" s="91">
        <f>Allocator.wages.salary</f>
        <v>9.4690139101538909E-2</v>
      </c>
      <c r="J59" s="91">
        <v>9.5362892375417618E-2</v>
      </c>
      <c r="K59" s="91"/>
      <c r="L59" s="91"/>
      <c r="M59" s="2"/>
      <c r="N59" s="91">
        <v>9.5796903245394263E-2</v>
      </c>
      <c r="O59" s="91"/>
      <c r="P59" s="91"/>
      <c r="Q59" s="24"/>
      <c r="R59" s="33"/>
    </row>
    <row r="60" spans="1:18" ht="15.75">
      <c r="A60" s="39">
        <f>+A59+1</f>
        <v>30</v>
      </c>
      <c r="B60" s="2"/>
      <c r="C60" s="47" t="s">
        <v>51</v>
      </c>
      <c r="D60" s="47"/>
      <c r="E60" s="62"/>
      <c r="F60" s="38" t="str">
        <f>"(Line "&amp;A58&amp;" * Line "&amp;A59&amp;")"</f>
        <v>(Line 28 * Line 29)</v>
      </c>
      <c r="G60" s="47"/>
      <c r="H60" s="50">
        <f>H58*H59</f>
        <v>138096060.03609902</v>
      </c>
      <c r="J60" s="1710">
        <v>124120863.56449929</v>
      </c>
      <c r="K60" s="51">
        <f>$H60-J60</f>
        <v>13975196.471599728</v>
      </c>
      <c r="L60" s="52">
        <f>IF(J60=0,"n/m",K60/ABS(J60))</f>
        <v>0.1125934518199475</v>
      </c>
      <c r="M60" s="2"/>
      <c r="N60" s="50">
        <v>130384508.35049437</v>
      </c>
      <c r="O60" s="51">
        <f>$H60-N60</f>
        <v>7711551.6856046468</v>
      </c>
      <c r="P60" s="52">
        <f>IF(N60=0,"n/m",O60/ABS(N60))</f>
        <v>5.9144692748886736E-2</v>
      </c>
      <c r="Q60" s="24"/>
      <c r="R60" s="33"/>
    </row>
    <row r="61" spans="1:18" ht="15.75">
      <c r="A61" s="39"/>
      <c r="B61" s="2"/>
      <c r="C61" s="2"/>
      <c r="D61" s="2"/>
      <c r="E61" s="39"/>
      <c r="F61" s="39"/>
      <c r="G61" s="39"/>
      <c r="H61" s="92"/>
      <c r="J61" s="92"/>
      <c r="K61" s="92"/>
      <c r="L61" s="92"/>
      <c r="M61" s="2"/>
      <c r="N61" s="92"/>
      <c r="O61" s="92"/>
      <c r="P61" s="92"/>
      <c r="Q61" s="24"/>
      <c r="R61" s="33"/>
    </row>
    <row r="62" spans="1:18" ht="16.5" thickBot="1">
      <c r="A62" s="39">
        <f>+A60+1</f>
        <v>31</v>
      </c>
      <c r="B62" s="53" t="s">
        <v>52</v>
      </c>
      <c r="C62" s="53"/>
      <c r="D62" s="53"/>
      <c r="E62" s="85"/>
      <c r="F62" s="93" t="str">
        <f>"(Line "&amp;A54&amp;" + Line "&amp;A60&amp;" )"</f>
        <v>(Line 25 + Line 30 )</v>
      </c>
      <c r="G62" s="94"/>
      <c r="H62" s="86">
        <f>H54+H60</f>
        <v>2516380313.6360993</v>
      </c>
      <c r="J62" s="1713">
        <v>2270196723.8144994</v>
      </c>
      <c r="K62" s="87">
        <f>$H62-J62</f>
        <v>246183589.82159996</v>
      </c>
      <c r="L62" s="59">
        <f>IF(J62=0,"n/m",K62/ABS(J62))</f>
        <v>0.10844152281567469</v>
      </c>
      <c r="M62" s="2"/>
      <c r="N62" s="86">
        <v>2388920512.0304947</v>
      </c>
      <c r="O62" s="87">
        <f>$H62-N62</f>
        <v>127459801.60560465</v>
      </c>
      <c r="P62" s="59">
        <f>IF(N62=0,"n/m",O62/ABS(N62))</f>
        <v>5.3354559502387336E-2</v>
      </c>
      <c r="Q62" s="24"/>
      <c r="R62" s="33"/>
    </row>
    <row r="63" spans="1:18" ht="16.5" thickTop="1">
      <c r="A63" s="39"/>
      <c r="B63" s="2"/>
      <c r="C63" s="2"/>
      <c r="D63" s="2"/>
      <c r="E63" s="39"/>
      <c r="F63" s="2"/>
      <c r="G63" s="2"/>
      <c r="H63" s="45"/>
      <c r="J63" s="45">
        <v>0</v>
      </c>
      <c r="K63" s="45"/>
      <c r="L63" s="45"/>
      <c r="M63" s="2"/>
      <c r="N63" s="45"/>
      <c r="O63" s="45"/>
      <c r="P63" s="45"/>
      <c r="Q63" s="24"/>
      <c r="R63" s="33"/>
    </row>
    <row r="64" spans="1:18" ht="16.5" thickBot="1">
      <c r="A64" s="39">
        <f>+A62+1</f>
        <v>32</v>
      </c>
      <c r="B64" s="53" t="s">
        <v>53</v>
      </c>
      <c r="C64" s="53"/>
      <c r="D64" s="53"/>
      <c r="E64" s="85"/>
      <c r="F64" s="56" t="str">
        <f>"(Line "&amp;A50&amp;" - Line "&amp;A62&amp;")"</f>
        <v>(Line 24 - Line 31)</v>
      </c>
      <c r="G64" s="53"/>
      <c r="H64" s="86">
        <f>H50-H62</f>
        <v>9026195565.2416973</v>
      </c>
      <c r="J64" s="1713">
        <v>6140557877.0660648</v>
      </c>
      <c r="K64" s="87">
        <f>$H64-J64</f>
        <v>2885637688.1756325</v>
      </c>
      <c r="L64" s="59">
        <f>IF(J64=0,"n/m",K64/ABS(J64))</f>
        <v>0.469930867186025</v>
      </c>
      <c r="M64" s="2"/>
      <c r="N64" s="86">
        <v>6740195294.4134579</v>
      </c>
      <c r="O64" s="87">
        <f>$H64-N64</f>
        <v>2286000270.8282394</v>
      </c>
      <c r="P64" s="59">
        <f>IF(N64=0,"n/m",O64/ABS(N64))</f>
        <v>0.33915935235926581</v>
      </c>
      <c r="Q64" s="24"/>
      <c r="R64" s="33"/>
    </row>
    <row r="65" spans="1:18" ht="16.5" thickTop="1">
      <c r="A65" s="39"/>
      <c r="B65" s="2"/>
      <c r="C65" s="2"/>
      <c r="D65" s="2"/>
      <c r="E65" s="39"/>
      <c r="F65" s="2"/>
      <c r="G65" s="2"/>
      <c r="H65" s="2"/>
      <c r="J65" s="2"/>
      <c r="K65" s="2"/>
      <c r="L65" s="2"/>
      <c r="M65" s="2"/>
      <c r="N65" s="2"/>
      <c r="O65" s="2"/>
      <c r="P65" s="2"/>
      <c r="Q65" s="24"/>
      <c r="R65" s="33"/>
    </row>
    <row r="66" spans="1:18" ht="15.75">
      <c r="A66" s="27" t="s">
        <v>54</v>
      </c>
      <c r="B66" s="29"/>
      <c r="C66" s="29"/>
      <c r="D66" s="29"/>
      <c r="E66" s="67"/>
      <c r="F66" s="29"/>
      <c r="G66" s="29"/>
      <c r="H66" s="29"/>
      <c r="J66" s="29">
        <v>0</v>
      </c>
      <c r="K66" s="29"/>
      <c r="L66" s="29"/>
      <c r="M66" s="2"/>
      <c r="N66" s="29">
        <v>0</v>
      </c>
      <c r="O66" s="29"/>
      <c r="P66" s="29"/>
      <c r="Q66" s="24"/>
      <c r="R66" s="33"/>
    </row>
    <row r="67" spans="1:18" ht="15.75">
      <c r="A67" s="95"/>
      <c r="B67" s="96"/>
      <c r="C67" s="96"/>
      <c r="D67" s="96"/>
      <c r="E67" s="39"/>
      <c r="F67" s="2"/>
      <c r="G67" s="2"/>
      <c r="H67" s="2"/>
      <c r="J67" s="2"/>
      <c r="K67" s="2"/>
      <c r="L67" s="2"/>
      <c r="M67" s="2"/>
      <c r="N67" s="2"/>
      <c r="O67" s="2"/>
      <c r="P67" s="2"/>
      <c r="Q67" s="24"/>
      <c r="R67" s="33"/>
    </row>
    <row r="68" spans="1:18" ht="15.75">
      <c r="A68" s="39"/>
      <c r="B68" s="97" t="s">
        <v>55</v>
      </c>
      <c r="C68" s="2"/>
      <c r="D68" s="2"/>
      <c r="E68" s="98"/>
      <c r="F68" s="2"/>
      <c r="G68" s="2"/>
      <c r="H68" s="38"/>
      <c r="J68" s="38"/>
      <c r="K68" s="38"/>
      <c r="L68" s="38"/>
      <c r="M68" s="2"/>
      <c r="N68" s="38"/>
      <c r="O68" s="38"/>
      <c r="P68" s="38"/>
      <c r="Q68" s="24"/>
      <c r="R68" s="33"/>
    </row>
    <row r="69" spans="1:18" ht="15.75">
      <c r="A69" s="39">
        <f>+A64+1</f>
        <v>33</v>
      </c>
      <c r="B69" s="97"/>
      <c r="C69" s="2" t="s">
        <v>56</v>
      </c>
      <c r="D69" s="98"/>
      <c r="E69" s="39"/>
      <c r="F69" s="34" t="s">
        <v>57</v>
      </c>
      <c r="G69" s="2"/>
      <c r="H69" s="76">
        <f>'Att 1A - ADIT'!J19</f>
        <v>-892793665.57086873</v>
      </c>
      <c r="J69" s="89">
        <v>-845027971.09070754</v>
      </c>
      <c r="K69" s="41">
        <f>$H69-J69</f>
        <v>-47765694.48016119</v>
      </c>
      <c r="L69" s="44">
        <f>IF(J69=0,"n/m",K69/ABS(J69))</f>
        <v>-5.6525577985907752E-2</v>
      </c>
      <c r="M69" s="2"/>
      <c r="N69" s="89">
        <v>-857977208.48848152</v>
      </c>
      <c r="O69" s="41">
        <f>$H69-N69</f>
        <v>-34816457.082387209</v>
      </c>
      <c r="P69" s="44">
        <f>IF(N69=0,"n/m",O69/ABS(N69))</f>
        <v>-4.0579699248333385E-2</v>
      </c>
      <c r="Q69" s="24"/>
      <c r="R69" s="33"/>
    </row>
    <row r="70" spans="1:18" ht="15.75">
      <c r="A70" s="39" t="str">
        <f>A69&amp;"b"</f>
        <v>33b</v>
      </c>
      <c r="B70" s="97" t="s">
        <v>1773</v>
      </c>
      <c r="C70" s="2"/>
      <c r="D70" s="98"/>
      <c r="E70" s="39"/>
      <c r="F70" s="34" t="s">
        <v>1772</v>
      </c>
      <c r="G70" s="2"/>
      <c r="H70" s="76">
        <f>'Att 1B - ADIT'!D20</f>
        <v>-300388795</v>
      </c>
      <c r="J70" s="89">
        <v>-327148651</v>
      </c>
      <c r="K70" s="41">
        <f>$H70-J70</f>
        <v>26759856</v>
      </c>
      <c r="L70" s="44">
        <f>IF(J70=0,"n/m",K70/ABS(J70))</f>
        <v>8.1797237794509509E-2</v>
      </c>
      <c r="M70" s="2"/>
      <c r="N70" s="89">
        <v>-307252641</v>
      </c>
      <c r="O70" s="41">
        <f>$H70-N70</f>
        <v>6863846</v>
      </c>
      <c r="P70" s="44">
        <f>IF(N70=0,"n/m",O70/ABS(N70))</f>
        <v>2.2339420672384067E-2</v>
      </c>
      <c r="Q70" s="24"/>
      <c r="R70" s="33"/>
    </row>
    <row r="71" spans="1:18" ht="15.75">
      <c r="A71" s="39"/>
      <c r="B71" s="2"/>
      <c r="C71" s="97"/>
      <c r="D71" s="2"/>
      <c r="E71" s="39"/>
      <c r="F71" s="2"/>
      <c r="G71" s="2"/>
      <c r="H71" s="99"/>
      <c r="J71" s="99"/>
      <c r="K71" s="99"/>
      <c r="L71" s="99"/>
      <c r="M71" s="2"/>
      <c r="N71" s="99"/>
      <c r="O71" s="99"/>
      <c r="P71" s="99"/>
      <c r="Q71" s="24"/>
      <c r="R71" s="33"/>
    </row>
    <row r="72" spans="1:18" ht="15.75">
      <c r="A72" s="39"/>
      <c r="B72" s="17" t="s">
        <v>58</v>
      </c>
      <c r="C72" s="2"/>
      <c r="D72" s="2"/>
      <c r="E72" s="2"/>
      <c r="F72" s="2"/>
      <c r="G72" s="2"/>
      <c r="H72" s="45"/>
      <c r="J72" s="45"/>
      <c r="K72" s="45"/>
      <c r="L72" s="45"/>
      <c r="M72" s="2"/>
      <c r="N72" s="45"/>
      <c r="O72" s="45"/>
      <c r="P72" s="45"/>
      <c r="Q72" s="24"/>
      <c r="R72" s="33"/>
    </row>
    <row r="73" spans="1:18" ht="15.75">
      <c r="A73" s="39">
        <f>A69+1</f>
        <v>34</v>
      </c>
      <c r="B73" s="35"/>
      <c r="C73" s="2" t="s">
        <v>59</v>
      </c>
      <c r="D73" s="61"/>
      <c r="E73" s="61" t="str">
        <f>"(Note "&amp;B$324&amp;")"</f>
        <v>(Note O)</v>
      </c>
      <c r="F73" s="34" t="s">
        <v>38</v>
      </c>
      <c r="G73" s="2"/>
      <c r="H73" s="76">
        <f>IF(Toggle=Projection,'Att 6 - Est &amp; Reconcile WS'!W47,IF(Toggle=True_up,0,"Set Toggle!"))</f>
        <v>0</v>
      </c>
      <c r="J73" s="89">
        <v>0</v>
      </c>
      <c r="K73" s="41">
        <f>$H73-J73</f>
        <v>0</v>
      </c>
      <c r="L73" s="44" t="str">
        <f>IF(J73=0,"n/m",K73/ABS(J73))</f>
        <v>n/m</v>
      </c>
      <c r="M73" s="2"/>
      <c r="N73" s="89">
        <v>0</v>
      </c>
      <c r="O73" s="41">
        <f>$H73-N73</f>
        <v>0</v>
      </c>
      <c r="P73" s="44" t="str">
        <f>IF(N73=0,"n/m",O73/ABS(N73))</f>
        <v>n/m</v>
      </c>
      <c r="Q73" s="24"/>
      <c r="R73" s="33"/>
    </row>
    <row r="74" spans="1:18" ht="15.75">
      <c r="A74" s="39"/>
      <c r="B74" s="39"/>
      <c r="C74" s="100"/>
      <c r="D74" s="61"/>
      <c r="E74" s="34"/>
      <c r="F74" s="2"/>
      <c r="G74" s="38"/>
      <c r="H74" s="45"/>
      <c r="J74" s="45"/>
      <c r="K74" s="45"/>
      <c r="L74" s="45"/>
      <c r="M74" s="2"/>
      <c r="N74" s="45"/>
      <c r="O74" s="45"/>
      <c r="P74" s="45"/>
      <c r="Q74" s="24"/>
      <c r="R74" s="33"/>
    </row>
    <row r="75" spans="1:18" ht="15.75">
      <c r="A75" s="39"/>
      <c r="B75" s="17" t="s">
        <v>60</v>
      </c>
      <c r="C75" s="100"/>
      <c r="D75" s="61"/>
      <c r="E75" s="34"/>
      <c r="F75" s="2"/>
      <c r="G75" s="38"/>
      <c r="H75" s="45"/>
      <c r="J75" s="45"/>
      <c r="K75" s="45"/>
      <c r="L75" s="45"/>
      <c r="M75" s="2"/>
      <c r="N75" s="45"/>
      <c r="O75" s="45"/>
      <c r="P75" s="45"/>
      <c r="Q75" s="24"/>
      <c r="R75" s="33"/>
    </row>
    <row r="76" spans="1:18" ht="15.75">
      <c r="A76" s="39">
        <f>A73+1</f>
        <v>35</v>
      </c>
      <c r="B76" s="39"/>
      <c r="C76" s="2" t="s">
        <v>61</v>
      </c>
      <c r="D76" s="61"/>
      <c r="E76" s="34"/>
      <c r="F76" s="2" t="s">
        <v>25</v>
      </c>
      <c r="G76" s="38"/>
      <c r="H76" s="76">
        <f>-'Att 5 - Cost Support'!$J$164</f>
        <v>-5685.9253504556882</v>
      </c>
      <c r="J76" s="89">
        <v>-6843.8330014811527</v>
      </c>
      <c r="K76" s="41">
        <f>$H76-J76</f>
        <v>1157.9076510254645</v>
      </c>
      <c r="L76" s="44">
        <f>IF(J76=0,"n/m",K76/ABS(J76))</f>
        <v>0.16918993359055787</v>
      </c>
      <c r="M76" s="2"/>
      <c r="N76" s="89">
        <v>-6087.5137386679526</v>
      </c>
      <c r="O76" s="41">
        <f>$H76-N76</f>
        <v>401.58838821226436</v>
      </c>
      <c r="P76" s="44">
        <f>IF(N76=0,"n/m",O76/ABS(N76))</f>
        <v>6.5969196202609062E-2</v>
      </c>
      <c r="Q76" s="24"/>
      <c r="R76" s="33"/>
    </row>
    <row r="77" spans="1:18" ht="15.75">
      <c r="A77" s="39"/>
      <c r="B77" s="39"/>
      <c r="C77" s="100"/>
      <c r="D77" s="61"/>
      <c r="E77" s="34"/>
      <c r="F77" s="2"/>
      <c r="G77" s="38"/>
      <c r="H77" s="45"/>
      <c r="J77" s="45"/>
      <c r="K77" s="45"/>
      <c r="L77" s="45"/>
      <c r="M77" s="2"/>
      <c r="N77" s="45"/>
      <c r="O77" s="45"/>
      <c r="P77" s="45"/>
      <c r="Q77" s="24"/>
      <c r="R77" s="33"/>
    </row>
    <row r="78" spans="1:18" ht="15.75">
      <c r="A78" s="39"/>
      <c r="B78" s="97" t="s">
        <v>62</v>
      </c>
      <c r="C78" s="34"/>
      <c r="D78" s="2"/>
      <c r="E78" s="39"/>
      <c r="F78" s="101"/>
      <c r="G78" s="102"/>
      <c r="H78" s="45"/>
      <c r="J78" s="45"/>
      <c r="K78" s="45"/>
      <c r="L78" s="45"/>
      <c r="M78" s="2"/>
      <c r="N78" s="45"/>
      <c r="O78" s="45"/>
      <c r="P78" s="45"/>
      <c r="Q78" s="24"/>
      <c r="R78" s="33"/>
    </row>
    <row r="79" spans="1:18" ht="15.75">
      <c r="A79" s="39">
        <f>A76+1</f>
        <v>36</v>
      </c>
      <c r="B79" s="103"/>
      <c r="C79" s="34" t="s">
        <v>62</v>
      </c>
      <c r="D79" s="61"/>
      <c r="E79" s="61"/>
      <c r="F79" s="34" t="s">
        <v>63</v>
      </c>
      <c r="G79" s="102"/>
      <c r="H79" s="104">
        <f>'Att 16 - Unfunded Reserves'!$AG$65</f>
        <v>-9093415.9272152297</v>
      </c>
      <c r="J79" s="89">
        <v>-12527287.099945826</v>
      </c>
      <c r="K79" s="41">
        <f>$H79-J79</f>
        <v>3433871.1727305967</v>
      </c>
      <c r="L79" s="44">
        <f>IF(J79=0,"n/m",K79/ABS(J79))</f>
        <v>0.27411131758491003</v>
      </c>
      <c r="M79" s="2"/>
      <c r="N79" s="89">
        <v>-10445346.843253877</v>
      </c>
      <c r="O79" s="41">
        <f>$H79-N79</f>
        <v>1351930.9160386473</v>
      </c>
      <c r="P79" s="44">
        <f>IF(N79=0,"n/m",O79/ABS(N79))</f>
        <v>0.12942901143697219</v>
      </c>
      <c r="Q79" s="24"/>
      <c r="R79" s="33"/>
    </row>
    <row r="80" spans="1:18" ht="15.75">
      <c r="A80" s="39"/>
      <c r="B80" s="39"/>
      <c r="C80" s="100"/>
      <c r="D80" s="61"/>
      <c r="E80" s="34"/>
      <c r="F80" s="2"/>
      <c r="G80" s="38"/>
      <c r="H80" s="45"/>
      <c r="J80" s="45"/>
      <c r="K80" s="45"/>
      <c r="L80" s="45"/>
      <c r="M80" s="2"/>
      <c r="N80" s="45"/>
      <c r="O80" s="45"/>
      <c r="P80" s="45"/>
      <c r="Q80" s="24"/>
      <c r="R80" s="33"/>
    </row>
    <row r="81" spans="1:18" ht="15.75">
      <c r="A81" s="39"/>
      <c r="B81" s="97" t="s">
        <v>64</v>
      </c>
      <c r="C81" s="34"/>
      <c r="D81" s="2"/>
      <c r="E81" s="39"/>
      <c r="F81" s="101"/>
      <c r="G81" s="102"/>
      <c r="H81" s="45"/>
      <c r="J81" s="45"/>
      <c r="K81" s="45"/>
      <c r="L81" s="45"/>
      <c r="M81" s="2"/>
      <c r="N81" s="45"/>
      <c r="O81" s="45"/>
      <c r="P81" s="45"/>
      <c r="Q81" s="24"/>
      <c r="R81" s="33"/>
    </row>
    <row r="82" spans="1:18" ht="15.75">
      <c r="A82" s="39">
        <f>A79+1</f>
        <v>37</v>
      </c>
      <c r="B82" s="103"/>
      <c r="C82" s="34" t="s">
        <v>64</v>
      </c>
      <c r="D82" s="61"/>
      <c r="E82" s="61" t="str">
        <f>"(Note "&amp;B$319&amp;" &amp; "&amp;B323&amp;")"</f>
        <v>(Note K &amp; N)</v>
      </c>
      <c r="F82" s="34" t="s">
        <v>65</v>
      </c>
      <c r="G82" s="102"/>
      <c r="H82" s="104">
        <f>'Att 11 - Prepayments'!H75</f>
        <v>65791212.912727259</v>
      </c>
      <c r="J82" s="105">
        <v>14472313.315270919</v>
      </c>
      <c r="K82" s="41">
        <f>$H82-J82</f>
        <v>51318899.597456336</v>
      </c>
      <c r="L82" s="44">
        <f>IF(J82=0,"n/m",K82/ABS(J82))</f>
        <v>3.5460052915870452</v>
      </c>
      <c r="M82" s="2"/>
      <c r="N82" s="105">
        <v>26305635.938241404</v>
      </c>
      <c r="O82" s="41">
        <f>$H82-N82</f>
        <v>39485576.974485859</v>
      </c>
      <c r="P82" s="44">
        <f>IF(N82=0,"n/m",O82/ABS(N82))</f>
        <v>1.5010310743746105</v>
      </c>
      <c r="Q82" s="24"/>
      <c r="R82" s="33"/>
    </row>
    <row r="83" spans="1:18" ht="15.75">
      <c r="A83" s="39"/>
      <c r="B83" s="103"/>
      <c r="C83" s="34"/>
      <c r="D83" s="61"/>
      <c r="E83" s="61"/>
      <c r="F83" s="34"/>
      <c r="G83" s="102"/>
      <c r="H83" s="104"/>
      <c r="J83" s="104"/>
      <c r="K83" s="104"/>
      <c r="L83" s="104"/>
      <c r="M83" s="2"/>
      <c r="N83" s="104"/>
      <c r="O83" s="104"/>
      <c r="P83" s="104"/>
      <c r="Q83" s="24"/>
      <c r="R83" s="33"/>
    </row>
    <row r="84" spans="1:18" ht="15.75">
      <c r="A84" s="2"/>
      <c r="B84" s="97" t="s">
        <v>66</v>
      </c>
      <c r="C84" s="2"/>
      <c r="D84" s="61"/>
      <c r="E84" s="61"/>
      <c r="F84" s="34"/>
      <c r="G84" s="2"/>
      <c r="H84" s="76"/>
      <c r="J84" s="76"/>
      <c r="K84" s="76"/>
      <c r="L84" s="76"/>
      <c r="M84" s="2"/>
      <c r="N84" s="76"/>
      <c r="O84" s="76"/>
      <c r="P84" s="76"/>
      <c r="Q84" s="24"/>
      <c r="R84" s="33"/>
    </row>
    <row r="85" spans="1:18" ht="15.75">
      <c r="A85" s="39">
        <f>+A82+1</f>
        <v>38</v>
      </c>
      <c r="B85" s="35"/>
      <c r="C85" s="2" t="s">
        <v>67</v>
      </c>
      <c r="D85" s="61"/>
      <c r="E85" s="61" t="str">
        <f>"(Note "&amp;B324&amp;")"</f>
        <v>(Note O)</v>
      </c>
      <c r="F85" s="34"/>
      <c r="G85" s="2"/>
      <c r="H85" s="106">
        <v>0</v>
      </c>
      <c r="J85" s="106">
        <v>0</v>
      </c>
      <c r="K85" s="41">
        <f>$H85-J85</f>
        <v>0</v>
      </c>
      <c r="L85" s="44" t="str">
        <f>IF(J85=0,"n/m",K85/ABS(J85))</f>
        <v>n/m</v>
      </c>
      <c r="M85" s="2"/>
      <c r="N85" s="106">
        <v>0</v>
      </c>
      <c r="O85" s="41">
        <f>$H85-N85</f>
        <v>0</v>
      </c>
      <c r="P85" s="44" t="str">
        <f>IF(N85=0,"n/m",O85/ABS(N85))</f>
        <v>n/m</v>
      </c>
      <c r="Q85" s="24"/>
      <c r="R85" s="33"/>
    </row>
    <row r="86" spans="1:18" ht="15.75">
      <c r="A86" s="39"/>
      <c r="B86" s="98"/>
      <c r="C86" s="34"/>
      <c r="D86" s="2"/>
      <c r="E86" s="39"/>
      <c r="F86" s="102"/>
      <c r="G86" s="102"/>
      <c r="H86" s="99"/>
      <c r="J86" s="99"/>
      <c r="K86" s="99"/>
      <c r="L86" s="99"/>
      <c r="M86" s="2"/>
      <c r="N86" s="99"/>
      <c r="O86" s="99"/>
      <c r="P86" s="99"/>
      <c r="Q86" s="24"/>
      <c r="R86" s="33"/>
    </row>
    <row r="87" spans="1:18" ht="15.75">
      <c r="A87" s="39"/>
      <c r="B87" s="97" t="s">
        <v>68</v>
      </c>
      <c r="C87" s="2"/>
      <c r="D87" s="2"/>
      <c r="E87" s="107"/>
      <c r="F87" s="102"/>
      <c r="G87" s="102"/>
      <c r="H87" s="99"/>
      <c r="J87" s="99"/>
      <c r="K87" s="99"/>
      <c r="L87" s="99"/>
      <c r="M87" s="2"/>
      <c r="N87" s="99"/>
      <c r="O87" s="99"/>
      <c r="P87" s="99"/>
      <c r="Q87" s="24"/>
      <c r="R87" s="33"/>
    </row>
    <row r="88" spans="1:18" ht="15.75">
      <c r="A88" s="39">
        <f>+A85+1</f>
        <v>39</v>
      </c>
      <c r="B88" s="2"/>
      <c r="C88" s="2" t="s">
        <v>69</v>
      </c>
      <c r="D88" s="2"/>
      <c r="E88" s="61" t="str">
        <f>"(Note "&amp;B$323&amp;")"</f>
        <v>(Note N)</v>
      </c>
      <c r="F88" s="34" t="s">
        <v>25</v>
      </c>
      <c r="G88" s="2"/>
      <c r="H88" s="45">
        <f>'Att 5 - Cost Support'!$H$143</f>
        <v>0</v>
      </c>
      <c r="J88" s="106">
        <v>0</v>
      </c>
      <c r="K88" s="41">
        <f>$H88-J88</f>
        <v>0</v>
      </c>
      <c r="L88" s="44" t="str">
        <f>IF(J88=0,"n/m",K88/ABS(J88))</f>
        <v>n/m</v>
      </c>
      <c r="M88" s="2"/>
      <c r="N88" s="106">
        <v>0</v>
      </c>
      <c r="O88" s="41">
        <f>$H88-N88</f>
        <v>0</v>
      </c>
      <c r="P88" s="44" t="str">
        <f>IF(N88=0,"n/m",O88/ABS(N88))</f>
        <v>n/m</v>
      </c>
      <c r="Q88" s="24"/>
      <c r="R88" s="33"/>
    </row>
    <row r="89" spans="1:18" ht="15.75">
      <c r="A89" s="39">
        <f t="shared" ref="A89:A95" si="0">+A88+1</f>
        <v>40</v>
      </c>
      <c r="B89" s="98"/>
      <c r="C89" s="73" t="s">
        <v>43</v>
      </c>
      <c r="D89" s="73"/>
      <c r="E89" s="80"/>
      <c r="F89" s="63" t="str">
        <f>"(Line "&amp;A$18&amp;")"</f>
        <v>(Line 5)</v>
      </c>
      <c r="G89" s="108"/>
      <c r="H89" s="109">
        <f>H18</f>
        <v>9.4690139101538909E-2</v>
      </c>
      <c r="J89" s="109">
        <v>9.5362892375417618E-2</v>
      </c>
      <c r="K89" s="41">
        <f>$H89-J89</f>
        <v>-6.7275327387870953E-4</v>
      </c>
      <c r="L89" s="44">
        <f>IF(J89=0,"n/m",K89/ABS(J89))</f>
        <v>-7.0546651545578543E-3</v>
      </c>
      <c r="M89" s="2"/>
      <c r="N89" s="109">
        <v>9.5796903245394263E-2</v>
      </c>
      <c r="O89" s="41">
        <f>$H89-N89</f>
        <v>-1.1067641438553544E-3</v>
      </c>
      <c r="P89" s="44">
        <f>IF(N89=0,"n/m",O89/ABS(N89))</f>
        <v>-1.1553235087571221E-2</v>
      </c>
      <c r="Q89" s="24"/>
      <c r="R89" s="33"/>
    </row>
    <row r="90" spans="1:18" ht="15.75">
      <c r="A90" s="39">
        <f t="shared" si="0"/>
        <v>41</v>
      </c>
      <c r="B90" s="98"/>
      <c r="C90" s="34" t="s">
        <v>70</v>
      </c>
      <c r="D90" s="2"/>
      <c r="E90" s="39"/>
      <c r="F90" s="38" t="str">
        <f>"(Line "&amp;A88&amp;" * Line "&amp;A89&amp;")"</f>
        <v>(Line 39 * Line 40)</v>
      </c>
      <c r="G90" s="102"/>
      <c r="H90" s="110">
        <f>H88*H89</f>
        <v>0</v>
      </c>
      <c r="J90" s="1714"/>
      <c r="K90" s="51">
        <f>$H90-J90</f>
        <v>0</v>
      </c>
      <c r="L90" s="52" t="str">
        <f>IF(J90=0,"n/m",K90/ABS(J90))</f>
        <v>n/m</v>
      </c>
      <c r="M90" s="2"/>
      <c r="N90" s="110"/>
      <c r="O90" s="51">
        <f>$H90-N90</f>
        <v>0</v>
      </c>
      <c r="P90" s="52" t="str">
        <f>IF(N90=0,"n/m",O90/ABS(N90))</f>
        <v>n/m</v>
      </c>
      <c r="Q90" s="24"/>
      <c r="R90" s="33"/>
    </row>
    <row r="91" spans="1:18" ht="15.75">
      <c r="A91" s="39">
        <f t="shared" si="0"/>
        <v>42</v>
      </c>
      <c r="B91" s="98"/>
      <c r="C91" s="34" t="s">
        <v>71</v>
      </c>
      <c r="D91" s="2"/>
      <c r="E91" s="61" t="str">
        <f>"(Note "&amp;B$323&amp;")"</f>
        <v>(Note N)</v>
      </c>
      <c r="F91" s="34" t="s">
        <v>25</v>
      </c>
      <c r="G91" s="102"/>
      <c r="H91" s="99">
        <f>'Att 5 - Cost Support'!$H$147</f>
        <v>422879240</v>
      </c>
      <c r="J91" s="111">
        <v>251987732</v>
      </c>
      <c r="K91" s="41">
        <f>$H91-J91</f>
        <v>170891508</v>
      </c>
      <c r="L91" s="44">
        <f>IF(J91=0,"n/m",K91/ABS(J91))</f>
        <v>0.67817391999067633</v>
      </c>
      <c r="M91" s="2"/>
      <c r="N91" s="111">
        <v>336602638</v>
      </c>
      <c r="O91" s="41">
        <f>$H91-N91</f>
        <v>86276602</v>
      </c>
      <c r="P91" s="44">
        <f>IF(N91=0,"n/m",O91/ABS(N91))</f>
        <v>0.2563158818737481</v>
      </c>
      <c r="Q91" s="24"/>
      <c r="R91" s="33"/>
    </row>
    <row r="92" spans="1:18" ht="15.75">
      <c r="A92" s="39">
        <f t="shared" si="0"/>
        <v>43</v>
      </c>
      <c r="B92" s="98"/>
      <c r="C92" s="34" t="s">
        <v>43</v>
      </c>
      <c r="D92" s="2"/>
      <c r="E92" s="39"/>
      <c r="F92" s="38" t="str">
        <f>"(Line "&amp;A$18&amp;")"</f>
        <v>(Line 5)</v>
      </c>
      <c r="G92" s="108"/>
      <c r="H92" s="109">
        <f>H18</f>
        <v>9.4690139101538909E-2</v>
      </c>
      <c r="J92" s="109">
        <v>9.5362892375417618E-2</v>
      </c>
      <c r="K92" s="109"/>
      <c r="L92" s="109"/>
      <c r="M92" s="2"/>
      <c r="N92" s="109">
        <v>9.5796903245394263E-2</v>
      </c>
      <c r="O92" s="109"/>
      <c r="P92" s="109"/>
      <c r="Q92" s="24"/>
      <c r="R92" s="33"/>
    </row>
    <row r="93" spans="1:18" ht="15.75">
      <c r="A93" s="39">
        <f t="shared" si="0"/>
        <v>44</v>
      </c>
      <c r="B93" s="98"/>
      <c r="C93" s="112" t="s">
        <v>72</v>
      </c>
      <c r="D93" s="47"/>
      <c r="E93" s="62"/>
      <c r="F93" s="48" t="str">
        <f>"(Line "&amp;A91&amp;" * Line "&amp;A92&amp;")"</f>
        <v>(Line 42 * Line 43)</v>
      </c>
      <c r="G93" s="102"/>
      <c r="H93" s="110">
        <f>H91*H92</f>
        <v>40042494.058753058</v>
      </c>
      <c r="J93" s="1714">
        <v>24030278.966641579</v>
      </c>
      <c r="K93" s="51">
        <f>$H93-J93</f>
        <v>16012215.092111479</v>
      </c>
      <c r="L93" s="52">
        <f>IF(J93=0,"n/m",K93/ABS(J93))</f>
        <v>0.66633496491403044</v>
      </c>
      <c r="M93" s="2"/>
      <c r="N93" s="110">
        <v>32245490.344630469</v>
      </c>
      <c r="O93" s="51">
        <f>$H93-N93</f>
        <v>7797003.7141225897</v>
      </c>
      <c r="P93" s="52">
        <f>IF(N93=0,"n/m",O93/ABS(N93))</f>
        <v>0.24180136914621148</v>
      </c>
      <c r="Q93" s="24"/>
      <c r="R93" s="33"/>
    </row>
    <row r="94" spans="1:18" ht="15.75">
      <c r="A94" s="39">
        <f t="shared" si="0"/>
        <v>45</v>
      </c>
      <c r="B94" s="98"/>
      <c r="C94" s="34" t="s">
        <v>73</v>
      </c>
      <c r="D94" s="2"/>
      <c r="E94" s="61" t="str">
        <f>"(Note "&amp;B$323&amp;")"</f>
        <v>(Note N)</v>
      </c>
      <c r="F94" s="73" t="s">
        <v>25</v>
      </c>
      <c r="G94" s="102"/>
      <c r="H94" s="99">
        <f>'Att 5 - Cost Support'!$H$151</f>
        <v>1871312</v>
      </c>
      <c r="J94" s="111">
        <v>1327748</v>
      </c>
      <c r="K94" s="41">
        <f>$H94-J94</f>
        <v>543564</v>
      </c>
      <c r="L94" s="44">
        <f>IF(J94=0,"n/m",K94/ABS(J94))</f>
        <v>0.40938792602210661</v>
      </c>
      <c r="M94" s="2"/>
      <c r="N94" s="111">
        <v>1657571</v>
      </c>
      <c r="O94" s="41">
        <f>$H94-N94</f>
        <v>213741</v>
      </c>
      <c r="P94" s="44">
        <f>IF(N94=0,"n/m",O94/ABS(N94))</f>
        <v>0.12894832257562422</v>
      </c>
      <c r="Q94" s="24"/>
      <c r="R94" s="33"/>
    </row>
    <row r="95" spans="1:18" ht="15.75">
      <c r="A95" s="39">
        <f t="shared" si="0"/>
        <v>46</v>
      </c>
      <c r="B95" s="98"/>
      <c r="C95" s="81" t="s">
        <v>74</v>
      </c>
      <c r="D95" s="81"/>
      <c r="E95" s="113"/>
      <c r="F95" s="38" t="str">
        <f>"(Line "&amp;A90&amp;" + Line "&amp;A93&amp;" + Line "&amp;A94&amp;")"</f>
        <v>(Line 41 + Line 44 + Line 45)</v>
      </c>
      <c r="G95" s="114"/>
      <c r="H95" s="83">
        <f>H90+H93+H94</f>
        <v>41913806.058753058</v>
      </c>
      <c r="J95" s="1715">
        <v>25358026.966641579</v>
      </c>
      <c r="K95" s="51">
        <f>$H95-J95</f>
        <v>16555779.092111479</v>
      </c>
      <c r="L95" s="52">
        <f>IF(J95=0,"n/m",K95/ABS(J95))</f>
        <v>0.65288120065060917</v>
      </c>
      <c r="M95" s="2"/>
      <c r="N95" s="83">
        <v>33903061.344630465</v>
      </c>
      <c r="O95" s="51">
        <f>$H95-N95</f>
        <v>8010744.7141225934</v>
      </c>
      <c r="P95" s="52">
        <f>IF(N95=0,"n/m",O95/ABS(N95))</f>
        <v>0.23628381616314797</v>
      </c>
      <c r="Q95" s="24"/>
      <c r="R95" s="33"/>
    </row>
    <row r="96" spans="1:18" ht="15.75">
      <c r="A96" s="39"/>
      <c r="B96" s="98"/>
      <c r="C96" s="34"/>
      <c r="D96" s="2"/>
      <c r="E96" s="39"/>
      <c r="F96" s="102"/>
      <c r="G96" s="102"/>
      <c r="H96" s="45"/>
      <c r="J96" s="45"/>
      <c r="K96" s="45"/>
      <c r="L96" s="45"/>
      <c r="M96" s="2"/>
      <c r="N96" s="45"/>
      <c r="O96" s="45"/>
      <c r="P96" s="45"/>
      <c r="Q96" s="24"/>
      <c r="R96" s="33"/>
    </row>
    <row r="97" spans="1:18" ht="15.75">
      <c r="A97" s="39"/>
      <c r="B97" s="97" t="s">
        <v>75</v>
      </c>
      <c r="C97" s="2"/>
      <c r="D97" s="2"/>
      <c r="E97" s="39"/>
      <c r="F97" s="102"/>
      <c r="G97" s="102"/>
      <c r="H97" s="45"/>
      <c r="J97" s="45"/>
      <c r="K97" s="45"/>
      <c r="L97" s="45"/>
      <c r="M97" s="2"/>
      <c r="N97" s="45"/>
      <c r="O97" s="45"/>
      <c r="P97" s="45"/>
      <c r="Q97" s="24"/>
      <c r="R97" s="33"/>
    </row>
    <row r="98" spans="1:18" ht="15.75">
      <c r="A98" s="39">
        <f>+A95+1</f>
        <v>47</v>
      </c>
      <c r="B98" s="98"/>
      <c r="C98" s="34" t="s">
        <v>76</v>
      </c>
      <c r="D98" s="34"/>
      <c r="E98" s="39"/>
      <c r="F98" s="38" t="str">
        <f>"(Line "&amp;A$140&amp;")"</f>
        <v>(Line 75)</v>
      </c>
      <c r="G98" s="102"/>
      <c r="H98" s="99">
        <f>H140</f>
        <v>144305483.71811002</v>
      </c>
      <c r="J98" s="99">
        <v>92163517.448836923</v>
      </c>
      <c r="K98" s="41">
        <f>$H98-J98</f>
        <v>52141966.269273102</v>
      </c>
      <c r="L98" s="44">
        <f>IF(J98=0,"n/m",K98/ABS(J98))</f>
        <v>0.56575495068554504</v>
      </c>
      <c r="M98" s="2"/>
      <c r="N98" s="99">
        <v>267823699.68988097</v>
      </c>
      <c r="O98" s="41">
        <f>$H98-N98</f>
        <v>-123518215.97177094</v>
      </c>
      <c r="P98" s="44">
        <f>IF(N98=0,"n/m",O98/ABS(N98))</f>
        <v>-0.46119225488556626</v>
      </c>
      <c r="Q98" s="24"/>
      <c r="R98" s="33"/>
    </row>
    <row r="99" spans="1:18" ht="15.75">
      <c r="A99" s="39">
        <f>+A98+1</f>
        <v>48</v>
      </c>
      <c r="B99" s="98"/>
      <c r="C99" s="34" t="s">
        <v>77</v>
      </c>
      <c r="D99" s="34"/>
      <c r="E99" s="61" t="str">
        <f>"(Note "&amp;B330&amp;")"</f>
        <v>(Note S)</v>
      </c>
      <c r="F99" s="115" t="s">
        <v>78</v>
      </c>
      <c r="G99" s="2"/>
      <c r="H99" s="116">
        <v>0</v>
      </c>
      <c r="J99" s="117">
        <v>0</v>
      </c>
      <c r="K99" s="118"/>
      <c r="L99" s="118"/>
      <c r="M99" s="2"/>
      <c r="N99" s="117">
        <v>0</v>
      </c>
      <c r="O99" s="118"/>
      <c r="P99" s="118"/>
      <c r="Q99" s="24"/>
      <c r="R99" s="33"/>
    </row>
    <row r="100" spans="1:18" ht="15.75">
      <c r="A100" s="39">
        <f>+A99+1</f>
        <v>49</v>
      </c>
      <c r="B100" s="78"/>
      <c r="C100" s="119" t="s">
        <v>79</v>
      </c>
      <c r="D100" s="119"/>
      <c r="E100" s="113"/>
      <c r="F100" s="38" t="str">
        <f>"(Line "&amp;A98&amp;" * Line "&amp;A99&amp;")"</f>
        <v>(Line 47 * Line 48)</v>
      </c>
      <c r="G100" s="81"/>
      <c r="H100" s="120">
        <f>H98*H99</f>
        <v>0</v>
      </c>
      <c r="J100" s="1716">
        <v>0</v>
      </c>
      <c r="K100" s="51">
        <f>$H100-J100</f>
        <v>0</v>
      </c>
      <c r="L100" s="52" t="str">
        <f>IF(J100=0,"n/m",K100/ABS(J100))</f>
        <v>n/m</v>
      </c>
      <c r="M100" s="17"/>
      <c r="N100" s="120">
        <v>0</v>
      </c>
      <c r="O100" s="51">
        <f>$H100-N100</f>
        <v>0</v>
      </c>
      <c r="P100" s="52" t="str">
        <f>IF(N100=0,"n/m",O100/ABS(N100))</f>
        <v>n/m</v>
      </c>
      <c r="Q100" s="24"/>
      <c r="R100" s="33"/>
    </row>
    <row r="101" spans="1:18" ht="15.75">
      <c r="A101" s="39"/>
      <c r="B101" s="78"/>
      <c r="C101" s="97"/>
      <c r="D101" s="97"/>
      <c r="E101" s="35"/>
      <c r="F101" s="38"/>
      <c r="G101" s="17"/>
      <c r="H101" s="104"/>
      <c r="J101" s="104"/>
      <c r="K101" s="104"/>
      <c r="L101" s="104"/>
      <c r="M101" s="17"/>
      <c r="N101" s="104"/>
      <c r="O101" s="104"/>
      <c r="P101" s="104"/>
      <c r="Q101" s="24"/>
      <c r="R101" s="33"/>
    </row>
    <row r="102" spans="1:18" ht="15.75">
      <c r="A102" s="39"/>
      <c r="B102" s="121" t="s">
        <v>80</v>
      </c>
      <c r="C102" s="34"/>
      <c r="D102" s="2"/>
      <c r="E102" s="39"/>
      <c r="F102" s="101"/>
      <c r="G102" s="102"/>
      <c r="H102" s="45"/>
      <c r="J102" s="45"/>
      <c r="K102" s="45"/>
      <c r="L102" s="45"/>
      <c r="M102" s="2"/>
      <c r="N102" s="45"/>
      <c r="O102" s="45"/>
      <c r="P102" s="45"/>
      <c r="Q102" s="24"/>
      <c r="R102" s="33"/>
    </row>
    <row r="103" spans="1:18" ht="15.75">
      <c r="A103" s="39">
        <f>A100+1</f>
        <v>50</v>
      </c>
      <c r="B103" s="103"/>
      <c r="C103" s="34" t="s">
        <v>80</v>
      </c>
      <c r="D103" s="61"/>
      <c r="E103" s="61" t="str">
        <f>"(Note "&amp;B$323&amp;")"</f>
        <v>(Note N)</v>
      </c>
      <c r="F103" s="34" t="s">
        <v>25</v>
      </c>
      <c r="G103" s="102"/>
      <c r="H103" s="104">
        <f>'Att 5 - Cost Support'!H294</f>
        <v>-254743005.80000001</v>
      </c>
      <c r="J103" s="105">
        <v>-154590849.19</v>
      </c>
      <c r="K103" s="41">
        <f>$H103-J103</f>
        <v>-100152156.61000001</v>
      </c>
      <c r="L103" s="44">
        <f>IF(J103=0,"n/m",K103/ABS(J103))</f>
        <v>-0.64785307238275103</v>
      </c>
      <c r="M103" s="2"/>
      <c r="N103" s="105">
        <v>-190348902.84</v>
      </c>
      <c r="O103" s="41">
        <f>$H103-N103</f>
        <v>-64394102.960000008</v>
      </c>
      <c r="P103" s="44">
        <f>IF(N103=0,"n/m",O103/ABS(N103))</f>
        <v>-0.33829510966042825</v>
      </c>
      <c r="Q103" s="24"/>
      <c r="R103" s="33"/>
    </row>
    <row r="104" spans="1:18" ht="15.75">
      <c r="A104" s="39"/>
      <c r="B104" s="98"/>
      <c r="C104" s="34"/>
      <c r="D104" s="2"/>
      <c r="E104" s="39"/>
      <c r="F104" s="102"/>
      <c r="G104" s="102"/>
      <c r="H104" s="99"/>
      <c r="J104" s="99"/>
      <c r="K104" s="99"/>
      <c r="L104" s="99"/>
      <c r="M104" s="2"/>
      <c r="N104" s="99"/>
      <c r="O104" s="99"/>
      <c r="P104" s="99"/>
      <c r="Q104" s="24"/>
      <c r="R104" s="33"/>
    </row>
    <row r="105" spans="1:18" ht="16.5" thickBot="1">
      <c r="A105" s="39">
        <f>A103+1</f>
        <v>51</v>
      </c>
      <c r="B105" s="53" t="s">
        <v>81</v>
      </c>
      <c r="C105" s="53"/>
      <c r="D105" s="53"/>
      <c r="E105" s="85"/>
      <c r="F105" s="56" t="str">
        <f>"(Lines "&amp;A69&amp;" + "&amp;A70&amp;" +"&amp;A73&amp;" + "&amp;A76&amp;" + "&amp;A79&amp;" + "&amp;A82&amp;" + "&amp;A85&amp;" + "&amp;A95&amp;" + "&amp;A100&amp;" + "&amp;A103&amp;")"</f>
        <v>(Lines 33 + 33b +34 + 35 + 36 + 37 + 38 + 46 + 49 + 50)</v>
      </c>
      <c r="G105" s="53"/>
      <c r="H105" s="86">
        <f>H69+H70+H73+H76+H79+H82+H85+H95+H100+H103</f>
        <v>-1349319549.2519541</v>
      </c>
      <c r="J105" s="1713">
        <v>-1299471261.9317422</v>
      </c>
      <c r="K105" s="87">
        <f>$H105-J105</f>
        <v>-49848287.320211887</v>
      </c>
      <c r="L105" s="59">
        <f>IF(J105=0,"n/m",K105/ABS(J105))</f>
        <v>-3.8360438418706858E-2</v>
      </c>
      <c r="M105" s="2"/>
      <c r="N105" s="86">
        <v>-1305821489.402602</v>
      </c>
      <c r="O105" s="87">
        <f>$H105-N105</f>
        <v>-43498059.849352121</v>
      </c>
      <c r="P105" s="59">
        <f>IF(N105=0,"n/m",O105/ABS(N105))</f>
        <v>-3.331087763707425E-2</v>
      </c>
      <c r="Q105" s="24"/>
      <c r="R105" s="33"/>
    </row>
    <row r="106" spans="1:18" ht="16.5" thickTop="1">
      <c r="A106" s="39"/>
      <c r="B106" s="2"/>
      <c r="C106" s="2"/>
      <c r="D106" s="2"/>
      <c r="E106" s="39"/>
      <c r="F106" s="2"/>
      <c r="G106" s="2"/>
      <c r="H106" s="45"/>
      <c r="J106" s="45"/>
      <c r="K106" s="45"/>
      <c r="L106" s="45"/>
      <c r="M106" s="2"/>
      <c r="N106" s="45"/>
      <c r="O106" s="45"/>
      <c r="P106" s="45"/>
      <c r="Q106" s="24"/>
      <c r="R106" s="33"/>
    </row>
    <row r="107" spans="1:18" ht="16.5" thickBot="1">
      <c r="A107" s="39">
        <f>+A105+1</f>
        <v>52</v>
      </c>
      <c r="B107" s="53" t="s">
        <v>82</v>
      </c>
      <c r="C107" s="53"/>
      <c r="D107" s="53"/>
      <c r="E107" s="85"/>
      <c r="F107" s="56" t="str">
        <f>"(Line "&amp;A64&amp;" + Line "&amp;A105&amp;")"</f>
        <v>(Line 32 + Line 51)</v>
      </c>
      <c r="G107" s="53"/>
      <c r="H107" s="86">
        <f>H64+H105</f>
        <v>7676876015.9897432</v>
      </c>
      <c r="J107" s="1713">
        <v>4841086615.1343231</v>
      </c>
      <c r="K107" s="87">
        <f>$H107-J107</f>
        <v>2835789400.8554201</v>
      </c>
      <c r="L107" s="59">
        <f>IF(J107=0,"n/m",K107/ABS(J107))</f>
        <v>0.58577539017585556</v>
      </c>
      <c r="M107" s="2"/>
      <c r="N107" s="86">
        <v>5434373805.0108557</v>
      </c>
      <c r="O107" s="87">
        <f>$H107-N107</f>
        <v>2242502210.9788876</v>
      </c>
      <c r="P107" s="59">
        <f>IF(N107=0,"n/m",O107/ABS(N107))</f>
        <v>0.41265144641157198</v>
      </c>
      <c r="Q107" s="24"/>
      <c r="R107" s="33"/>
    </row>
    <row r="108" spans="1:18" ht="16.5" thickTop="1">
      <c r="A108" s="34"/>
      <c r="B108" s="2"/>
      <c r="C108" s="2"/>
      <c r="D108" s="2"/>
      <c r="E108" s="39"/>
      <c r="F108" s="2"/>
      <c r="G108" s="2"/>
      <c r="H108" s="2"/>
      <c r="J108" s="2"/>
      <c r="K108" s="2"/>
      <c r="L108" s="2"/>
      <c r="M108" s="2"/>
      <c r="N108" s="2"/>
      <c r="O108" s="2"/>
      <c r="P108" s="2"/>
      <c r="Q108" s="24"/>
      <c r="R108" s="33"/>
    </row>
    <row r="109" spans="1:18" ht="15.75">
      <c r="A109" s="27" t="s">
        <v>83</v>
      </c>
      <c r="B109" s="28"/>
      <c r="C109" s="122"/>
      <c r="D109" s="29"/>
      <c r="E109" s="67"/>
      <c r="F109" s="29"/>
      <c r="G109" s="29"/>
      <c r="H109" s="68"/>
      <c r="J109" s="68">
        <v>0</v>
      </c>
      <c r="K109" s="68"/>
      <c r="L109" s="68"/>
      <c r="M109" s="2"/>
      <c r="N109" s="68">
        <v>0</v>
      </c>
      <c r="O109" s="68"/>
      <c r="P109" s="68"/>
      <c r="Q109" s="24"/>
      <c r="R109" s="33"/>
    </row>
    <row r="110" spans="1:18" ht="15.75">
      <c r="A110" s="2"/>
      <c r="B110" s="2"/>
      <c r="C110" s="2"/>
      <c r="D110" s="2"/>
      <c r="E110" s="35"/>
      <c r="F110" s="2"/>
      <c r="G110" s="2"/>
      <c r="H110" s="36"/>
      <c r="J110" s="36"/>
      <c r="K110" s="36"/>
      <c r="L110" s="36"/>
      <c r="M110" s="2"/>
      <c r="N110" s="36"/>
      <c r="O110" s="36"/>
      <c r="P110" s="36"/>
      <c r="Q110" s="24"/>
      <c r="R110" s="33"/>
    </row>
    <row r="111" spans="1:18" ht="15.75">
      <c r="A111" s="39"/>
      <c r="B111" s="17" t="s">
        <v>84</v>
      </c>
      <c r="C111" s="2"/>
      <c r="D111" s="38"/>
      <c r="E111" s="37"/>
      <c r="F111" s="2"/>
      <c r="G111" s="38"/>
      <c r="H111" s="38"/>
      <c r="J111" s="38"/>
      <c r="K111" s="38"/>
      <c r="L111" s="38"/>
      <c r="M111" s="2"/>
      <c r="N111" s="38"/>
      <c r="O111" s="38"/>
      <c r="P111" s="38"/>
      <c r="Q111" s="24"/>
      <c r="R111" s="33"/>
    </row>
    <row r="112" spans="1:18" ht="15.75">
      <c r="A112" s="39">
        <f>+A107+1</f>
        <v>53</v>
      </c>
      <c r="B112" s="39"/>
      <c r="C112" s="2" t="s">
        <v>84</v>
      </c>
      <c r="D112" s="2"/>
      <c r="E112" s="39"/>
      <c r="F112" s="38" t="s">
        <v>25</v>
      </c>
      <c r="G112" s="35"/>
      <c r="H112" s="45">
        <f>'Att 5 - Cost Support'!J267</f>
        <v>271450963.25999999</v>
      </c>
      <c r="J112" s="43">
        <v>239061031.00999999</v>
      </c>
      <c r="K112" s="41">
        <f>$H112-J112</f>
        <v>32389932.25</v>
      </c>
      <c r="L112" s="44">
        <f>IF(J112=0,"n/m",K112/ABS(J112))</f>
        <v>0.1354881308474116</v>
      </c>
      <c r="M112" s="2"/>
      <c r="N112" s="43">
        <v>257483855.72</v>
      </c>
      <c r="O112" s="41">
        <f>$H112-N112</f>
        <v>13967107.539999992</v>
      </c>
      <c r="P112" s="44">
        <f>IF(N112=0,"n/m",O112/ABS(N112))</f>
        <v>5.4244595261881114E-2</v>
      </c>
      <c r="Q112" s="24"/>
      <c r="R112" s="33"/>
    </row>
    <row r="113" spans="1:18" ht="15.75">
      <c r="A113" s="39">
        <f>A112+1</f>
        <v>54</v>
      </c>
      <c r="B113" s="39"/>
      <c r="C113" s="2" t="s">
        <v>85</v>
      </c>
      <c r="D113" s="2"/>
      <c r="E113" s="39"/>
      <c r="F113" s="38" t="s">
        <v>25</v>
      </c>
      <c r="G113" s="35"/>
      <c r="H113" s="45">
        <f>'Att 5 - Cost Support'!J276</f>
        <v>12396450</v>
      </c>
      <c r="J113" s="43">
        <v>10849245</v>
      </c>
      <c r="K113" s="41">
        <f>$H113-J113</f>
        <v>1547205</v>
      </c>
      <c r="L113" s="44">
        <f>IF(J113=0,"n/m",K113/ABS(J113))</f>
        <v>0.14260946268611319</v>
      </c>
      <c r="M113" s="2"/>
      <c r="N113" s="43">
        <v>11105361</v>
      </c>
      <c r="O113" s="41">
        <f>$H113-N113</f>
        <v>1291089</v>
      </c>
      <c r="P113" s="44">
        <f>IF(N113=0,"n/m",O113/ABS(N113))</f>
        <v>0.11625817476802421</v>
      </c>
      <c r="Q113" s="24"/>
      <c r="R113" s="33"/>
    </row>
    <row r="114" spans="1:18" ht="15.75">
      <c r="A114" s="39">
        <f>A113+1</f>
        <v>55</v>
      </c>
      <c r="B114" s="39"/>
      <c r="C114" s="2" t="s">
        <v>86</v>
      </c>
      <c r="D114" s="2"/>
      <c r="E114" s="39"/>
      <c r="F114" s="38" t="s">
        <v>25</v>
      </c>
      <c r="G114" s="2"/>
      <c r="H114" s="45">
        <f>'Att 5 - Cost Support'!J278</f>
        <v>176350418</v>
      </c>
      <c r="J114" s="43">
        <v>163235255</v>
      </c>
      <c r="K114" s="41">
        <f>$H114-J114</f>
        <v>13115163</v>
      </c>
      <c r="L114" s="44">
        <f>IF(J114=0,"n/m",K114/ABS(J114))</f>
        <v>8.0345161956588362E-2</v>
      </c>
      <c r="M114" s="2"/>
      <c r="N114" s="43">
        <v>165141904</v>
      </c>
      <c r="O114" s="41">
        <f>$H114-N114</f>
        <v>11208514</v>
      </c>
      <c r="P114" s="44">
        <f>IF(N114=0,"n/m",O114/ABS(N114))</f>
        <v>6.7872016299388188E-2</v>
      </c>
      <c r="Q114" s="24"/>
      <c r="R114" s="33"/>
    </row>
    <row r="115" spans="1:18" ht="15.75">
      <c r="A115" s="39">
        <f>A114+1</f>
        <v>56</v>
      </c>
      <c r="B115" s="2"/>
      <c r="C115" s="81" t="s">
        <v>84</v>
      </c>
      <c r="D115" s="47"/>
      <c r="E115" s="62"/>
      <c r="F115" s="48" t="str">
        <f>"(Lines "&amp;A112&amp;"  - "&amp;A114&amp;")"</f>
        <v>(Lines 53  - 55)</v>
      </c>
      <c r="G115" s="47"/>
      <c r="H115" s="83">
        <f>H112-H113-H114</f>
        <v>82704095.25999999</v>
      </c>
      <c r="J115" s="1715">
        <v>64976531.00999999</v>
      </c>
      <c r="K115" s="51">
        <f>$H115-J115</f>
        <v>17727564.25</v>
      </c>
      <c r="L115" s="52">
        <f>IF(J115=0,"n/m",K115/ABS(J115))</f>
        <v>0.27283026616597461</v>
      </c>
      <c r="M115" s="2"/>
      <c r="N115" s="83">
        <v>81236590.719999999</v>
      </c>
      <c r="O115" s="51">
        <f>$H115-N115</f>
        <v>1467504.5399999917</v>
      </c>
      <c r="P115" s="52">
        <f>IF(N115=0,"n/m",O115/ABS(N115))</f>
        <v>1.8064575667116223E-2</v>
      </c>
      <c r="Q115" s="24"/>
      <c r="R115" s="33"/>
    </row>
    <row r="116" spans="1:18" ht="15.75">
      <c r="A116" s="39"/>
      <c r="B116" s="39"/>
      <c r="C116" s="17"/>
      <c r="D116" s="2"/>
      <c r="E116" s="37"/>
      <c r="F116" s="2"/>
      <c r="G116" s="2"/>
      <c r="H116" s="123"/>
      <c r="J116" s="123"/>
      <c r="K116" s="123"/>
      <c r="L116" s="123"/>
      <c r="M116" s="2"/>
      <c r="N116" s="123"/>
      <c r="O116" s="123"/>
      <c r="P116" s="123"/>
      <c r="Q116" s="24"/>
      <c r="R116" s="33"/>
    </row>
    <row r="117" spans="1:18" ht="15.75">
      <c r="A117" s="39"/>
      <c r="B117" s="17" t="s">
        <v>87</v>
      </c>
      <c r="C117" s="2"/>
      <c r="D117" s="2"/>
      <c r="E117" s="37"/>
      <c r="F117" s="2"/>
      <c r="G117" s="2"/>
      <c r="H117" s="123"/>
      <c r="J117" s="123"/>
      <c r="K117" s="123"/>
      <c r="L117" s="123"/>
      <c r="M117" s="2"/>
      <c r="N117" s="123"/>
      <c r="O117" s="123"/>
      <c r="P117" s="123"/>
      <c r="Q117" s="24"/>
      <c r="R117" s="33"/>
    </row>
    <row r="118" spans="1:18" ht="15.75">
      <c r="A118" s="39">
        <f>A115+1</f>
        <v>57</v>
      </c>
      <c r="B118" s="39"/>
      <c r="C118" s="2" t="s">
        <v>88</v>
      </c>
      <c r="D118" s="2"/>
      <c r="E118" s="39"/>
      <c r="F118" s="678" t="s">
        <v>1856</v>
      </c>
      <c r="G118" s="45"/>
      <c r="H118" s="41">
        <f>INDEX(Inputs_EndYrBal,MATCH(F118,Inputs_FF1_Map,0))</f>
        <v>635022977.09000003</v>
      </c>
      <c r="J118" s="43">
        <v>264608506</v>
      </c>
      <c r="K118" s="41">
        <f t="shared" ref="K118:K125" si="1">$H118-J118</f>
        <v>370414471.09000003</v>
      </c>
      <c r="L118" s="44">
        <f t="shared" ref="L118:L125" si="2">IF(J118=0,"n/m",K118/ABS(J118))</f>
        <v>1.3998585181158161</v>
      </c>
      <c r="M118" s="2"/>
      <c r="N118" s="43">
        <v>1929760436</v>
      </c>
      <c r="O118" s="41">
        <f t="shared" ref="O118:O125" si="3">$H118-N118</f>
        <v>-1294737458.9099998</v>
      </c>
      <c r="P118" s="44">
        <f t="shared" ref="P118:P125" si="4">IF(N118=0,"n/m",O118/ABS(N118))</f>
        <v>-0.670931704659531</v>
      </c>
      <c r="Q118" s="24"/>
      <c r="R118" s="33"/>
    </row>
    <row r="119" spans="1:18" ht="15.75">
      <c r="A119" s="39">
        <f>A118+1</f>
        <v>58</v>
      </c>
      <c r="B119" s="39"/>
      <c r="C119" s="2" t="s">
        <v>89</v>
      </c>
      <c r="D119" s="2"/>
      <c r="E119" s="61" t="str">
        <f>IF(Toggle=True_up,"",IF(Toggle=Projection,"(Note H)"))</f>
        <v>(Note H)</v>
      </c>
      <c r="F119" s="38" t="s">
        <v>25</v>
      </c>
      <c r="G119" s="2"/>
      <c r="H119" s="45">
        <f>-'Att 5 - Cost Support'!I220</f>
        <v>0</v>
      </c>
      <c r="J119" s="43">
        <v>0</v>
      </c>
      <c r="K119" s="41">
        <f t="shared" si="1"/>
        <v>0</v>
      </c>
      <c r="L119" s="44" t="str">
        <f t="shared" si="2"/>
        <v>n/m</v>
      </c>
      <c r="M119" s="2"/>
      <c r="N119" s="43">
        <v>0</v>
      </c>
      <c r="O119" s="41">
        <f t="shared" si="3"/>
        <v>0</v>
      </c>
      <c r="P119" s="44" t="str">
        <f t="shared" si="4"/>
        <v>n/m</v>
      </c>
      <c r="Q119" s="24"/>
      <c r="R119" s="33"/>
    </row>
    <row r="120" spans="1:18" ht="15.75">
      <c r="A120" s="39">
        <f t="shared" ref="A120:A127" si="5">A119+1</f>
        <v>59</v>
      </c>
      <c r="B120" s="39"/>
      <c r="C120" s="2" t="s">
        <v>90</v>
      </c>
      <c r="D120" s="38"/>
      <c r="E120" s="39"/>
      <c r="F120" s="678" t="s">
        <v>1857</v>
      </c>
      <c r="G120" s="45"/>
      <c r="H120" s="41">
        <f>INDEX(Inputs_EndYrBal,MATCH(F120,Inputs_FF1_Map,0))</f>
        <v>6538361</v>
      </c>
      <c r="J120" s="43">
        <v>4518334</v>
      </c>
      <c r="K120" s="41">
        <f t="shared" si="1"/>
        <v>2020027</v>
      </c>
      <c r="L120" s="44">
        <f t="shared" si="2"/>
        <v>0.44707341245689231</v>
      </c>
      <c r="M120" s="2"/>
      <c r="N120" s="43">
        <v>5369323</v>
      </c>
      <c r="O120" s="41">
        <f t="shared" si="3"/>
        <v>1169038</v>
      </c>
      <c r="P120" s="44">
        <f t="shared" si="4"/>
        <v>0.21772540039032853</v>
      </c>
      <c r="Q120" s="24"/>
      <c r="R120" s="33"/>
    </row>
    <row r="121" spans="1:18" ht="15.75">
      <c r="A121" s="39">
        <f t="shared" si="5"/>
        <v>60</v>
      </c>
      <c r="B121" s="39"/>
      <c r="C121" s="2" t="s">
        <v>91</v>
      </c>
      <c r="D121" s="38"/>
      <c r="E121" s="39"/>
      <c r="F121" s="2" t="s">
        <v>25</v>
      </c>
      <c r="G121" s="2"/>
      <c r="H121" s="45">
        <f xml:space="preserve"> 'Att 5 - Cost Support'!H325</f>
        <v>0</v>
      </c>
      <c r="J121" s="43">
        <v>0</v>
      </c>
      <c r="K121" s="41">
        <f t="shared" si="1"/>
        <v>0</v>
      </c>
      <c r="L121" s="44" t="str">
        <f t="shared" si="2"/>
        <v>n/m</v>
      </c>
      <c r="M121" s="2"/>
      <c r="N121" s="43">
        <v>0</v>
      </c>
      <c r="O121" s="41">
        <f t="shared" si="3"/>
        <v>0</v>
      </c>
      <c r="P121" s="44" t="str">
        <f t="shared" si="4"/>
        <v>n/m</v>
      </c>
      <c r="Q121" s="24"/>
      <c r="R121" s="33"/>
    </row>
    <row r="122" spans="1:18" ht="15.75">
      <c r="A122" s="39">
        <f>A121+1</f>
        <v>61</v>
      </c>
      <c r="B122" s="39"/>
      <c r="C122" s="2" t="s">
        <v>92</v>
      </c>
      <c r="D122" s="38"/>
      <c r="E122" s="61" t="str">
        <f>"(Note "&amp;B$306&amp;")"</f>
        <v>(Note D)</v>
      </c>
      <c r="F122" s="678" t="s">
        <v>1858</v>
      </c>
      <c r="G122" s="2"/>
      <c r="H122" s="41">
        <f>INDEX(Inputs_EndYrBal,MATCH(F122,Inputs_FF1_Map,0))</f>
        <v>35681963</v>
      </c>
      <c r="J122" s="43">
        <v>26166699</v>
      </c>
      <c r="K122" s="41">
        <f t="shared" si="1"/>
        <v>9515264</v>
      </c>
      <c r="L122" s="44">
        <f t="shared" si="2"/>
        <v>0.36364021308152011</v>
      </c>
      <c r="M122" s="2"/>
      <c r="N122" s="43">
        <v>32148662</v>
      </c>
      <c r="O122" s="41">
        <f t="shared" si="3"/>
        <v>3533301</v>
      </c>
      <c r="P122" s="44">
        <f t="shared" si="4"/>
        <v>0.10990507163253015</v>
      </c>
      <c r="Q122" s="24"/>
      <c r="R122" s="33"/>
    </row>
    <row r="123" spans="1:18" ht="15.75">
      <c r="A123" s="39">
        <f t="shared" si="5"/>
        <v>62</v>
      </c>
      <c r="B123" s="39"/>
      <c r="C123" s="2" t="s">
        <v>93</v>
      </c>
      <c r="D123" s="38"/>
      <c r="E123" s="39"/>
      <c r="F123" s="678" t="s">
        <v>1859</v>
      </c>
      <c r="G123" s="2"/>
      <c r="H123" s="41">
        <f>INDEX(Inputs_EndYrBal,MATCH(F123,Inputs_FF1_Map,0))</f>
        <v>203856</v>
      </c>
      <c r="J123" s="43">
        <v>15720</v>
      </c>
      <c r="K123" s="41">
        <f t="shared" si="1"/>
        <v>188136</v>
      </c>
      <c r="L123" s="44">
        <f t="shared" si="2"/>
        <v>11.967938931297709</v>
      </c>
      <c r="M123" s="2"/>
      <c r="N123" s="43">
        <v>48947</v>
      </c>
      <c r="O123" s="41">
        <f t="shared" si="3"/>
        <v>154909</v>
      </c>
      <c r="P123" s="44">
        <f t="shared" si="4"/>
        <v>3.1648313481929433</v>
      </c>
      <c r="Q123" s="24"/>
      <c r="R123" s="33"/>
    </row>
    <row r="124" spans="1:18" ht="15.75">
      <c r="A124" s="39">
        <f t="shared" si="5"/>
        <v>63</v>
      </c>
      <c r="B124" s="39"/>
      <c r="C124" s="2" t="s">
        <v>94</v>
      </c>
      <c r="D124" s="2"/>
      <c r="E124" s="61" t="str">
        <f>"(Note "&amp;B$304&amp;")"</f>
        <v>(Note C)</v>
      </c>
      <c r="F124" s="63" t="s">
        <v>25</v>
      </c>
      <c r="G124" s="2"/>
      <c r="H124" s="45">
        <f>'Att 5 - Cost Support'!I215</f>
        <v>1319918.78</v>
      </c>
      <c r="J124" s="43">
        <v>718487.8</v>
      </c>
      <c r="K124" s="41">
        <f t="shared" si="1"/>
        <v>601430.98</v>
      </c>
      <c r="L124" s="44">
        <f t="shared" si="2"/>
        <v>0.83707890377540151</v>
      </c>
      <c r="M124" s="2"/>
      <c r="N124" s="43">
        <v>1080814.4099999999</v>
      </c>
      <c r="O124" s="41">
        <f t="shared" si="3"/>
        <v>239104.37000000011</v>
      </c>
      <c r="P124" s="44">
        <f t="shared" si="4"/>
        <v>0.22122611226103114</v>
      </c>
      <c r="Q124" s="24"/>
      <c r="R124" s="33"/>
    </row>
    <row r="125" spans="1:18" ht="15.75">
      <c r="A125" s="39">
        <f t="shared" si="5"/>
        <v>64</v>
      </c>
      <c r="B125" s="39"/>
      <c r="C125" s="47" t="s">
        <v>95</v>
      </c>
      <c r="D125" s="47"/>
      <c r="E125" s="49"/>
      <c r="F125" s="38" t="str">
        <f>"(Line "&amp;A118&amp;" - Sum (Lines "&amp;A119&amp;" to "&amp;A124&amp;"))"</f>
        <v>(Line 57 - Sum (Lines 58 to 63))</v>
      </c>
      <c r="G125" s="47"/>
      <c r="H125" s="50">
        <f>H118-SUM(+H119+H120+H121+H122+H123+H124)</f>
        <v>591278878.31000006</v>
      </c>
      <c r="J125" s="1710">
        <v>233189265.19999999</v>
      </c>
      <c r="K125" s="51">
        <f t="shared" si="1"/>
        <v>358089613.11000007</v>
      </c>
      <c r="L125" s="52">
        <f t="shared" si="2"/>
        <v>1.5356179144990938</v>
      </c>
      <c r="M125" s="2"/>
      <c r="N125" s="50">
        <v>1891112689.5899999</v>
      </c>
      <c r="O125" s="51">
        <f t="shared" si="3"/>
        <v>-1299833811.2799997</v>
      </c>
      <c r="P125" s="52">
        <f t="shared" si="4"/>
        <v>-0.68733810440551191</v>
      </c>
      <c r="Q125" s="24"/>
      <c r="R125" s="33"/>
    </row>
    <row r="126" spans="1:18" ht="15.75">
      <c r="A126" s="39">
        <f t="shared" si="5"/>
        <v>65</v>
      </c>
      <c r="B126" s="39"/>
      <c r="C126" s="73" t="s">
        <v>43</v>
      </c>
      <c r="D126" s="34"/>
      <c r="E126" s="39"/>
      <c r="F126" s="71" t="str">
        <f>"(Line "&amp;A$18&amp;")"</f>
        <v>(Line 5)</v>
      </c>
      <c r="G126" s="102"/>
      <c r="H126" s="109">
        <f>Allocator.wages.salary</f>
        <v>9.4690139101538909E-2</v>
      </c>
      <c r="J126" s="109">
        <v>9.5362892375417618E-2</v>
      </c>
      <c r="K126" s="109"/>
      <c r="L126" s="109"/>
      <c r="M126" s="2"/>
      <c r="N126" s="109">
        <v>9.5796903245394263E-2</v>
      </c>
      <c r="O126" s="109"/>
      <c r="P126" s="109"/>
      <c r="Q126" s="24"/>
      <c r="R126" s="33"/>
    </row>
    <row r="127" spans="1:18" ht="15.75">
      <c r="A127" s="39">
        <f t="shared" si="5"/>
        <v>66</v>
      </c>
      <c r="B127" s="39"/>
      <c r="C127" s="81" t="s">
        <v>96</v>
      </c>
      <c r="D127" s="47"/>
      <c r="E127" s="49"/>
      <c r="F127" s="38" t="str">
        <f>"(Line "&amp;A125&amp;" * Line "&amp;A126&amp;")"</f>
        <v>(Line 64 * Line 65)</v>
      </c>
      <c r="G127" s="47"/>
      <c r="H127" s="83">
        <f>H125*H126</f>
        <v>55988279.2349758</v>
      </c>
      <c r="J127" s="1715">
        <v>22237602.800370317</v>
      </c>
      <c r="K127" s="51">
        <f>$H127-J127</f>
        <v>33750676.434605479</v>
      </c>
      <c r="L127" s="52">
        <f>IF(J127=0,"n/m",K127/ABS(J127))</f>
        <v>1.5177299791524039</v>
      </c>
      <c r="M127" s="2"/>
      <c r="N127" s="83">
        <v>181162739.35079053</v>
      </c>
      <c r="O127" s="51">
        <f>$H127-N127</f>
        <v>-125174460.11581473</v>
      </c>
      <c r="P127" s="52">
        <f>IF(N127=0,"n/m",O127/ABS(N127))</f>
        <v>-0.69095036078824068</v>
      </c>
      <c r="Q127" s="24"/>
      <c r="R127" s="33"/>
    </row>
    <row r="128" spans="1:18" ht="15.75">
      <c r="A128" s="39"/>
      <c r="B128" s="39"/>
      <c r="C128" s="17"/>
      <c r="D128" s="2"/>
      <c r="E128" s="37"/>
      <c r="F128" s="2"/>
      <c r="G128" s="2"/>
      <c r="H128" s="45"/>
      <c r="J128" s="45"/>
      <c r="K128" s="45"/>
      <c r="L128" s="45"/>
      <c r="M128" s="2"/>
      <c r="N128" s="45"/>
      <c r="O128" s="45"/>
      <c r="P128" s="45"/>
      <c r="Q128" s="24"/>
      <c r="R128" s="33"/>
    </row>
    <row r="129" spans="1:18" ht="15.75">
      <c r="A129" s="39"/>
      <c r="B129" s="17" t="s">
        <v>97</v>
      </c>
      <c r="C129" s="2"/>
      <c r="D129" s="2"/>
      <c r="E129" s="37"/>
      <c r="F129" s="2"/>
      <c r="G129" s="2"/>
      <c r="H129" s="45"/>
      <c r="J129" s="45"/>
      <c r="K129" s="45"/>
      <c r="L129" s="45"/>
      <c r="M129" s="2"/>
      <c r="N129" s="45"/>
      <c r="O129" s="45"/>
      <c r="P129" s="45"/>
      <c r="Q129" s="24"/>
      <c r="R129" s="33"/>
    </row>
    <row r="130" spans="1:18" ht="15.75">
      <c r="A130" s="39">
        <f>+A127+1</f>
        <v>67</v>
      </c>
      <c r="B130" s="98"/>
      <c r="C130" s="34" t="s">
        <v>98</v>
      </c>
      <c r="D130" s="61"/>
      <c r="E130" s="61" t="str">
        <f>"(Note "&amp;B$307&amp;")"</f>
        <v>(Note E)</v>
      </c>
      <c r="F130" s="38" t="s">
        <v>25</v>
      </c>
      <c r="G130" s="2"/>
      <c r="H130" s="99">
        <f>+'Att 5 - Cost Support'!I239</f>
        <v>3592897.2800000003</v>
      </c>
      <c r="J130" s="111">
        <v>3784426.62</v>
      </c>
      <c r="K130" s="41">
        <f>$H130-J130</f>
        <v>-191529.33999999985</v>
      </c>
      <c r="L130" s="44">
        <f>IF(J130=0,"n/m",K130/ABS(J130))</f>
        <v>-5.0609870194814305E-2</v>
      </c>
      <c r="M130" s="2"/>
      <c r="N130" s="111">
        <v>3965360.04</v>
      </c>
      <c r="O130" s="41">
        <f>$H130-N130</f>
        <v>-372462.75999999978</v>
      </c>
      <c r="P130" s="44">
        <f>IF(N130=0,"n/m",O130/ABS(N130))</f>
        <v>-9.3929115198326293E-2</v>
      </c>
      <c r="Q130" s="24"/>
      <c r="R130" s="33"/>
    </row>
    <row r="131" spans="1:18" ht="15.75">
      <c r="A131" s="39">
        <f>+A130+1</f>
        <v>68</v>
      </c>
      <c r="B131" s="98"/>
      <c r="C131" s="73" t="s">
        <v>99</v>
      </c>
      <c r="D131" s="124"/>
      <c r="E131" s="72"/>
      <c r="F131" s="63" t="s">
        <v>25</v>
      </c>
      <c r="G131" s="71"/>
      <c r="H131" s="125">
        <f>'Att 5 - Cost Support'!I246</f>
        <v>0</v>
      </c>
      <c r="J131" s="126">
        <v>0</v>
      </c>
      <c r="K131" s="41">
        <f>$H131-J131</f>
        <v>0</v>
      </c>
      <c r="L131" s="44" t="str">
        <f>IF(J131=0,"n/m",K131/ABS(J131))</f>
        <v>n/m</v>
      </c>
      <c r="M131" s="2"/>
      <c r="N131" s="126">
        <v>0</v>
      </c>
      <c r="O131" s="41">
        <f>$H131-N131</f>
        <v>0</v>
      </c>
      <c r="P131" s="44" t="str">
        <f>IF(N131=0,"n/m",O131/ABS(N131))</f>
        <v>n/m</v>
      </c>
      <c r="Q131" s="24"/>
      <c r="R131" s="33"/>
    </row>
    <row r="132" spans="1:18" ht="15.75">
      <c r="A132" s="39">
        <f>+A131+1</f>
        <v>69</v>
      </c>
      <c r="B132" s="98"/>
      <c r="C132" s="97" t="s">
        <v>100</v>
      </c>
      <c r="D132" s="2"/>
      <c r="E132" s="107"/>
      <c r="F132" s="38" t="str">
        <f>"(Line "&amp;A130&amp;" + Line "&amp;A131&amp;")"</f>
        <v>(Line 67 + Line 68)</v>
      </c>
      <c r="G132" s="2"/>
      <c r="H132" s="104">
        <f>SUM(H130:H131)</f>
        <v>3592897.2800000003</v>
      </c>
      <c r="J132" s="104">
        <v>3784426.62</v>
      </c>
      <c r="K132" s="51">
        <f>$H132-J132</f>
        <v>-191529.33999999985</v>
      </c>
      <c r="L132" s="52">
        <f>IF(J132=0,"n/m",K132/ABS(J132))</f>
        <v>-5.0609870194814305E-2</v>
      </c>
      <c r="M132" s="2"/>
      <c r="N132" s="104">
        <v>3965360.04</v>
      </c>
      <c r="O132" s="51">
        <f>$H132-N132</f>
        <v>-372462.75999999978</v>
      </c>
      <c r="P132" s="52">
        <f>IF(N132=0,"n/m",O132/ABS(N132))</f>
        <v>-9.3929115198326293E-2</v>
      </c>
      <c r="Q132" s="24"/>
      <c r="R132" s="33"/>
    </row>
    <row r="133" spans="1:18" ht="15.75">
      <c r="A133" s="39"/>
      <c r="B133" s="98"/>
      <c r="C133" s="34"/>
      <c r="D133" s="2"/>
      <c r="E133" s="107"/>
      <c r="F133" s="34"/>
      <c r="G133" s="2"/>
      <c r="H133" s="127"/>
      <c r="J133" s="127"/>
      <c r="K133" s="127"/>
      <c r="L133" s="127"/>
      <c r="M133" s="2"/>
      <c r="N133" s="127"/>
      <c r="O133" s="127"/>
      <c r="P133" s="127"/>
      <c r="Q133" s="24"/>
      <c r="R133" s="33"/>
    </row>
    <row r="134" spans="1:18" ht="15.75">
      <c r="A134" s="39">
        <f>+A132+1</f>
        <v>70</v>
      </c>
      <c r="B134" s="98"/>
      <c r="C134" s="34" t="s">
        <v>101</v>
      </c>
      <c r="D134" s="2"/>
      <c r="E134" s="61" t="str">
        <f>"(Note "&amp;B$308&amp;")"</f>
        <v>(Note F)</v>
      </c>
      <c r="F134" s="38" t="s">
        <v>25</v>
      </c>
      <c r="G134" s="2"/>
      <c r="H134" s="99">
        <f>'Att 5 - Cost Support'!I224</f>
        <v>6538361</v>
      </c>
      <c r="J134" s="111">
        <v>4518334</v>
      </c>
      <c r="K134" s="41">
        <f>$H134-J134</f>
        <v>2020027</v>
      </c>
      <c r="L134" s="44">
        <f>IF(J134=0,"n/m",K134/ABS(J134))</f>
        <v>0.44707341245689231</v>
      </c>
      <c r="M134" s="2"/>
      <c r="N134" s="111">
        <v>5369323</v>
      </c>
      <c r="O134" s="41">
        <f>$H134-N134</f>
        <v>1169038</v>
      </c>
      <c r="P134" s="44">
        <f>IF(N134=0,"n/m",O134/ABS(N134))</f>
        <v>0.21772540039032853</v>
      </c>
      <c r="Q134" s="24"/>
      <c r="R134" s="33"/>
    </row>
    <row r="135" spans="1:18" ht="15.75">
      <c r="A135" s="39">
        <f>+A134+1</f>
        <v>71</v>
      </c>
      <c r="B135" s="98"/>
      <c r="C135" s="34" t="s">
        <v>102</v>
      </c>
      <c r="D135" s="2"/>
      <c r="E135" s="61"/>
      <c r="F135" s="63" t="s">
        <v>25</v>
      </c>
      <c r="G135" s="2"/>
      <c r="H135" s="125">
        <f>+'Att 5 - Cost Support'!I253</f>
        <v>60000</v>
      </c>
      <c r="J135" s="126">
        <v>0</v>
      </c>
      <c r="K135" s="41">
        <f>$H135-J135</f>
        <v>60000</v>
      </c>
      <c r="L135" s="44" t="str">
        <f>IF(J135=0,"n/m",K135/ABS(J135))</f>
        <v>n/m</v>
      </c>
      <c r="M135" s="2"/>
      <c r="N135" s="126">
        <v>0</v>
      </c>
      <c r="O135" s="41">
        <f>$H135-N135</f>
        <v>60000</v>
      </c>
      <c r="P135" s="44" t="str">
        <f>IF(N135=0,"n/m",O135/ABS(N135))</f>
        <v>n/m</v>
      </c>
      <c r="Q135" s="24"/>
      <c r="R135" s="33"/>
    </row>
    <row r="136" spans="1:18" ht="15.75">
      <c r="A136" s="39">
        <f>+A135+1</f>
        <v>72</v>
      </c>
      <c r="B136" s="98"/>
      <c r="C136" s="112" t="s">
        <v>103</v>
      </c>
      <c r="D136" s="47"/>
      <c r="E136" s="62"/>
      <c r="F136" s="38" t="str">
        <f>"(Line "&amp;A134&amp;" + Line "&amp;A135&amp;")"</f>
        <v>(Line 70 + Line 71)</v>
      </c>
      <c r="G136" s="47"/>
      <c r="H136" s="99">
        <f>SUM(H134:H135)</f>
        <v>6598361</v>
      </c>
      <c r="J136" s="99">
        <v>4518334</v>
      </c>
      <c r="K136" s="51">
        <f>$H136-J136</f>
        <v>2080027</v>
      </c>
      <c r="L136" s="52">
        <f>IF(J136=0,"n/m",K136/ABS(J136))</f>
        <v>0.460352643253022</v>
      </c>
      <c r="M136" s="2"/>
      <c r="N136" s="99">
        <v>5369323</v>
      </c>
      <c r="O136" s="51">
        <f>$H136-N136</f>
        <v>1229038</v>
      </c>
      <c r="P136" s="52">
        <f>IF(N136=0,"n/m",O136/ABS(N136))</f>
        <v>0.22889999353736029</v>
      </c>
      <c r="Q136" s="24"/>
      <c r="R136" s="33"/>
    </row>
    <row r="137" spans="1:18" ht="15.75">
      <c r="A137" s="39">
        <f>+A136+1</f>
        <v>73</v>
      </c>
      <c r="B137" s="39"/>
      <c r="C137" s="34" t="s">
        <v>31</v>
      </c>
      <c r="D137" s="34"/>
      <c r="E137" s="39"/>
      <c r="F137" s="63" t="str">
        <f>"(Line "&amp;A$30&amp;")"</f>
        <v>(Line 12)</v>
      </c>
      <c r="G137" s="102"/>
      <c r="H137" s="109">
        <f>Allocator.gross.plant</f>
        <v>0.30616875056309001</v>
      </c>
      <c r="J137" s="109">
        <v>0.25782888526315229</v>
      </c>
      <c r="K137" s="109"/>
      <c r="L137" s="109"/>
      <c r="M137" s="2"/>
      <c r="N137" s="109">
        <v>0.27173064073263098</v>
      </c>
      <c r="O137" s="109"/>
      <c r="P137" s="109"/>
      <c r="Q137" s="24"/>
      <c r="R137" s="33"/>
    </row>
    <row r="138" spans="1:18" ht="15.75">
      <c r="A138" s="39">
        <f>+A137+1</f>
        <v>74</v>
      </c>
      <c r="B138" s="39"/>
      <c r="C138" s="81" t="s">
        <v>104</v>
      </c>
      <c r="D138" s="47"/>
      <c r="E138" s="49"/>
      <c r="F138" s="38" t="str">
        <f>"(Line "&amp;A136&amp;" * Line "&amp;A137&amp;")"</f>
        <v>(Line 72 * Line 73)</v>
      </c>
      <c r="G138" s="47"/>
      <c r="H138" s="120">
        <f>H136*H137</f>
        <v>2020211.9431342212</v>
      </c>
      <c r="J138" s="1716">
        <v>1164957.0184666</v>
      </c>
      <c r="K138" s="51">
        <f>$H138-J138</f>
        <v>855254.92466762126</v>
      </c>
      <c r="L138" s="52">
        <f>IF(J138=0,"n/m",K138/ABS(J138))</f>
        <v>0.73415148465594826</v>
      </c>
      <c r="M138" s="2"/>
      <c r="N138" s="120">
        <v>1459009.5790904523</v>
      </c>
      <c r="O138" s="51">
        <f>$H138-N138</f>
        <v>561202.36404376896</v>
      </c>
      <c r="P138" s="52">
        <f>IF(N138=0,"n/m",O138/ABS(N138))</f>
        <v>0.38464611342279392</v>
      </c>
      <c r="Q138" s="24"/>
      <c r="R138" s="33"/>
    </row>
    <row r="139" spans="1:18" ht="15.75">
      <c r="A139" s="39"/>
      <c r="B139" s="39"/>
      <c r="C139" s="17"/>
      <c r="D139" s="2"/>
      <c r="E139" s="37"/>
      <c r="F139" s="2"/>
      <c r="G139" s="2"/>
      <c r="H139" s="45"/>
      <c r="J139" s="45"/>
      <c r="K139" s="45"/>
      <c r="L139" s="45"/>
      <c r="M139" s="2"/>
      <c r="N139" s="45"/>
      <c r="O139" s="45"/>
      <c r="P139" s="45"/>
      <c r="Q139" s="24"/>
      <c r="R139" s="33"/>
    </row>
    <row r="140" spans="1:18" ht="16.5" thickBot="1">
      <c r="A140" s="39">
        <f>A138+1</f>
        <v>75</v>
      </c>
      <c r="B140" s="39"/>
      <c r="C140" s="53" t="s">
        <v>105</v>
      </c>
      <c r="D140" s="54"/>
      <c r="E140" s="55"/>
      <c r="F140" s="56" t="str">
        <f>"(Lines "&amp;A115&amp;" + "&amp;A127&amp;" + "&amp;A132&amp;" + "&amp;A138&amp;" )"</f>
        <v>(Lines 56 + 66 + 69 + 74 )</v>
      </c>
      <c r="G140" s="54"/>
      <c r="H140" s="86">
        <f>H115+H127+H132+H138</f>
        <v>144305483.71811002</v>
      </c>
      <c r="J140" s="1713">
        <v>92163517.448836923</v>
      </c>
      <c r="K140" s="87">
        <f>$H140-J140</f>
        <v>52141966.269273102</v>
      </c>
      <c r="L140" s="59">
        <f>IF(J140=0,"n/m",K140/ABS(J140))</f>
        <v>0.56575495068554504</v>
      </c>
      <c r="M140" s="2"/>
      <c r="N140" s="86">
        <v>267823699.68988097</v>
      </c>
      <c r="O140" s="87">
        <f>$H140-N140</f>
        <v>-123518215.97177094</v>
      </c>
      <c r="P140" s="59">
        <f>IF(N140=0,"n/m",O140/ABS(N140))</f>
        <v>-0.46119225488556626</v>
      </c>
      <c r="Q140" s="24"/>
      <c r="R140" s="33"/>
    </row>
    <row r="141" spans="1:18" ht="16.5" thickTop="1">
      <c r="A141" s="34"/>
      <c r="B141" s="39"/>
      <c r="C141" s="17"/>
      <c r="D141" s="2"/>
      <c r="E141" s="37"/>
      <c r="F141" s="2"/>
      <c r="G141" s="2"/>
      <c r="H141" s="128"/>
      <c r="J141" s="128"/>
      <c r="K141" s="128"/>
      <c r="L141" s="128"/>
      <c r="M141" s="2"/>
      <c r="N141" s="128"/>
      <c r="O141" s="128"/>
      <c r="P141" s="128"/>
      <c r="Q141" s="24"/>
      <c r="R141" s="33"/>
    </row>
    <row r="142" spans="1:18" ht="15.75">
      <c r="A142" s="27" t="s">
        <v>106</v>
      </c>
      <c r="B142" s="28"/>
      <c r="C142" s="122"/>
      <c r="D142" s="29"/>
      <c r="E142" s="67"/>
      <c r="F142" s="29"/>
      <c r="G142" s="29"/>
      <c r="H142" s="129"/>
      <c r="J142" s="129">
        <v>0</v>
      </c>
      <c r="K142" s="129"/>
      <c r="L142" s="129"/>
      <c r="M142" s="2"/>
      <c r="N142" s="129">
        <v>0</v>
      </c>
      <c r="O142" s="129"/>
      <c r="P142" s="129"/>
      <c r="Q142" s="24"/>
      <c r="R142" s="33"/>
    </row>
    <row r="143" spans="1:18" ht="15.75">
      <c r="A143" s="17"/>
      <c r="B143" s="39"/>
      <c r="C143" s="17"/>
      <c r="D143" s="2"/>
      <c r="E143" s="37"/>
      <c r="F143" s="2"/>
      <c r="G143" s="2"/>
      <c r="H143" s="128"/>
      <c r="J143" s="128"/>
      <c r="K143" s="128"/>
      <c r="L143" s="128"/>
      <c r="M143" s="2"/>
      <c r="N143" s="128"/>
      <c r="O143" s="128"/>
      <c r="P143" s="128"/>
      <c r="Q143" s="24"/>
      <c r="R143" s="33"/>
    </row>
    <row r="144" spans="1:18" ht="15.75">
      <c r="A144" s="39"/>
      <c r="B144" s="97" t="s">
        <v>107</v>
      </c>
      <c r="C144" s="2"/>
      <c r="D144" s="2"/>
      <c r="E144" s="39"/>
      <c r="F144" s="98"/>
      <c r="G144" s="98"/>
      <c r="H144" s="127"/>
      <c r="J144" s="127"/>
      <c r="K144" s="127"/>
      <c r="L144" s="127"/>
      <c r="M144" s="2"/>
      <c r="N144" s="127"/>
      <c r="O144" s="127"/>
      <c r="P144" s="127"/>
      <c r="Q144" s="24"/>
      <c r="R144" s="33"/>
    </row>
    <row r="145" spans="1:18" ht="15.75">
      <c r="A145" s="39">
        <f>+A140+1</f>
        <v>76</v>
      </c>
      <c r="B145" s="98"/>
      <c r="C145" s="34" t="s">
        <v>108</v>
      </c>
      <c r="D145" s="2"/>
      <c r="E145" s="61" t="str">
        <f>"(Note "&amp;B313&amp;")"</f>
        <v>(Note H)</v>
      </c>
      <c r="F145" s="34" t="s">
        <v>25</v>
      </c>
      <c r="G145" s="2"/>
      <c r="H145" s="104">
        <f>'Att 5 - Cost Support'!H304</f>
        <v>146298145</v>
      </c>
      <c r="J145" s="105">
        <v>137423038</v>
      </c>
      <c r="K145" s="41">
        <f>$H145-J145</f>
        <v>8875107</v>
      </c>
      <c r="L145" s="44">
        <f>IF(J145=0,"n/m",K145/ABS(J145))</f>
        <v>6.4582381012418019E-2</v>
      </c>
      <c r="M145" s="2"/>
      <c r="N145" s="105">
        <v>139702687</v>
      </c>
      <c r="O145" s="41">
        <f>$H145-N145</f>
        <v>6595458</v>
      </c>
      <c r="P145" s="44">
        <f>IF(N145=0,"n/m",O145/ABS(N145))</f>
        <v>4.7210673907796777E-2</v>
      </c>
      <c r="Q145" s="24"/>
      <c r="R145" s="33"/>
    </row>
    <row r="146" spans="1:18" ht="15.75">
      <c r="A146" s="39"/>
      <c r="B146" s="98"/>
      <c r="C146" s="34"/>
      <c r="D146" s="2"/>
      <c r="E146" s="39"/>
      <c r="F146" s="34"/>
      <c r="G146" s="102"/>
      <c r="H146" s="99"/>
      <c r="J146" s="99"/>
      <c r="K146" s="99"/>
      <c r="L146" s="99"/>
      <c r="M146" s="2"/>
      <c r="N146" s="99"/>
      <c r="O146" s="99"/>
      <c r="P146" s="99"/>
      <c r="Q146" s="24"/>
      <c r="R146" s="33"/>
    </row>
    <row r="147" spans="1:18" ht="15.75">
      <c r="A147" s="39">
        <f>+A145+1</f>
        <v>77</v>
      </c>
      <c r="B147" s="98"/>
      <c r="C147" s="34" t="s">
        <v>109</v>
      </c>
      <c r="D147" s="2"/>
      <c r="E147" s="61" t="str">
        <f>"(Note "&amp;B$313&amp;")"</f>
        <v>(Note H)</v>
      </c>
      <c r="F147" s="34" t="s">
        <v>25</v>
      </c>
      <c r="G147" s="2"/>
      <c r="H147" s="99">
        <f>'Att 5 - Cost Support'!H309</f>
        <v>53436530</v>
      </c>
      <c r="J147" s="111">
        <v>50352724</v>
      </c>
      <c r="K147" s="41">
        <f>$H147-J147</f>
        <v>3083806</v>
      </c>
      <c r="L147" s="44">
        <f>IF(J147=0,"n/m",K147/ABS(J147))</f>
        <v>6.1244074898509956E-2</v>
      </c>
      <c r="M147" s="2"/>
      <c r="N147" s="111">
        <v>52324661</v>
      </c>
      <c r="O147" s="41">
        <f>$H147-N147</f>
        <v>1111869</v>
      </c>
      <c r="P147" s="44">
        <f>IF(N147=0,"n/m",O147/ABS(N147))</f>
        <v>2.1249425772677247E-2</v>
      </c>
      <c r="Q147" s="24"/>
      <c r="R147" s="33"/>
    </row>
    <row r="148" spans="1:18" ht="15.75">
      <c r="A148" s="39">
        <f>+A147+1</f>
        <v>78</v>
      </c>
      <c r="B148" s="98"/>
      <c r="C148" s="73" t="s">
        <v>110</v>
      </c>
      <c r="D148" s="71"/>
      <c r="E148" s="72" t="str">
        <f>"(Note "&amp;B$313&amp;")"</f>
        <v>(Note H)</v>
      </c>
      <c r="F148" s="73" t="s">
        <v>25</v>
      </c>
      <c r="G148" s="71"/>
      <c r="H148" s="125">
        <f>'Att 5 - Cost Support'!H314</f>
        <v>68568312</v>
      </c>
      <c r="J148" s="126">
        <v>64151576</v>
      </c>
      <c r="K148" s="41">
        <f>$H148-J148</f>
        <v>4416736</v>
      </c>
      <c r="L148" s="44">
        <f>IF(J148=0,"n/m",K148/ABS(J148))</f>
        <v>6.8848441073372846E-2</v>
      </c>
      <c r="M148" s="2"/>
      <c r="N148" s="126">
        <v>61586054</v>
      </c>
      <c r="O148" s="41">
        <f>$H148-N148</f>
        <v>6982258</v>
      </c>
      <c r="P148" s="44">
        <f>IF(N148=0,"n/m",O148/ABS(N148))</f>
        <v>0.11337401159035128</v>
      </c>
      <c r="Q148" s="24"/>
      <c r="R148" s="33"/>
    </row>
    <row r="149" spans="1:18" ht="15.75">
      <c r="A149" s="39">
        <f>+A148+1</f>
        <v>79</v>
      </c>
      <c r="B149" s="98"/>
      <c r="C149" s="34" t="s">
        <v>111</v>
      </c>
      <c r="D149" s="2"/>
      <c r="E149" s="39"/>
      <c r="F149" s="38" t="str">
        <f>"(Line "&amp;A147&amp;" + Line "&amp;A148&amp;")"</f>
        <v>(Line 77 + Line 78)</v>
      </c>
      <c r="G149" s="2"/>
      <c r="H149" s="99">
        <f>SUM(H147:H148)</f>
        <v>122004842</v>
      </c>
      <c r="J149" s="99">
        <v>114504300</v>
      </c>
      <c r="K149" s="51">
        <f>$H149-J149</f>
        <v>7500542</v>
      </c>
      <c r="L149" s="52">
        <f>IF(J149=0,"n/m",K149/ABS(J149))</f>
        <v>6.5504457037857969E-2</v>
      </c>
      <c r="M149" s="2"/>
      <c r="N149" s="99">
        <v>113910715</v>
      </c>
      <c r="O149" s="51">
        <f>$H149-N149</f>
        <v>8094127</v>
      </c>
      <c r="P149" s="52">
        <f>IF(N149=0,"n/m",O149/ABS(N149))</f>
        <v>7.1056765818737946E-2</v>
      </c>
      <c r="Q149" s="24"/>
      <c r="R149" s="33"/>
    </row>
    <row r="150" spans="1:18" ht="15.75">
      <c r="A150" s="39">
        <f>+A149+1</f>
        <v>80</v>
      </c>
      <c r="B150" s="98"/>
      <c r="C150" s="73" t="s">
        <v>43</v>
      </c>
      <c r="D150" s="73"/>
      <c r="E150" s="80"/>
      <c r="F150" s="71" t="str">
        <f>"(Line "&amp;A$18&amp;")"</f>
        <v>(Line 5)</v>
      </c>
      <c r="G150" s="108"/>
      <c r="H150" s="130">
        <f>Allocator.wages.salary</f>
        <v>9.4690139101538909E-2</v>
      </c>
      <c r="J150" s="130">
        <v>9.5362892375417618E-2</v>
      </c>
      <c r="K150" s="109"/>
      <c r="L150" s="109"/>
      <c r="M150" s="2"/>
      <c r="N150" s="130">
        <v>9.5796903245394263E-2</v>
      </c>
      <c r="O150" s="109"/>
      <c r="P150" s="109"/>
      <c r="Q150" s="24"/>
      <c r="R150" s="33"/>
    </row>
    <row r="151" spans="1:18" ht="15.75">
      <c r="A151" s="39">
        <f>+A150+1</f>
        <v>81</v>
      </c>
      <c r="B151" s="98"/>
      <c r="C151" s="97" t="s">
        <v>112</v>
      </c>
      <c r="D151" s="2"/>
      <c r="E151" s="39"/>
      <c r="F151" s="38" t="str">
        <f>"(Line "&amp;A149&amp;" * Line "&amp;A150&amp;")"</f>
        <v>(Line 79 * Line 80)</v>
      </c>
      <c r="G151" s="102"/>
      <c r="H151" s="104">
        <f>+H149*H150</f>
        <v>11552655.460041277</v>
      </c>
      <c r="J151" s="104">
        <v>10919461.237422531</v>
      </c>
      <c r="K151" s="51">
        <f>$H151-J151</f>
        <v>633194.22261874564</v>
      </c>
      <c r="L151" s="52">
        <f>IF(J151=0,"n/m",K151/ABS(J151))</f>
        <v>5.798767987276697E-2</v>
      </c>
      <c r="M151" s="2"/>
      <c r="N151" s="104">
        <v>10912293.743468681</v>
      </c>
      <c r="O151" s="51">
        <f>$H151-N151</f>
        <v>640361.71657259576</v>
      </c>
      <c r="P151" s="52">
        <f>IF(N151=0,"n/m",O151/ABS(N151))</f>
        <v>5.868259521110037E-2</v>
      </c>
      <c r="Q151" s="24"/>
      <c r="R151" s="33"/>
    </row>
    <row r="152" spans="1:18" ht="15.75">
      <c r="A152" s="39"/>
      <c r="B152" s="98"/>
      <c r="C152" s="97"/>
      <c r="D152" s="2"/>
      <c r="E152" s="39"/>
      <c r="F152" s="38"/>
      <c r="G152" s="102"/>
      <c r="H152" s="104"/>
      <c r="J152" s="104"/>
      <c r="K152" s="104"/>
      <c r="L152" s="104"/>
      <c r="M152" s="2"/>
      <c r="N152" s="104"/>
      <c r="O152" s="104"/>
      <c r="P152" s="104"/>
      <c r="Q152" s="24"/>
      <c r="R152" s="33"/>
    </row>
    <row r="153" spans="1:18" ht="15.75">
      <c r="A153" s="39">
        <f>+A151+1</f>
        <v>82</v>
      </c>
      <c r="B153" s="98"/>
      <c r="C153" s="34" t="s">
        <v>113</v>
      </c>
      <c r="D153" s="2"/>
      <c r="E153" s="61" t="str">
        <f>"(Note "&amp;B324&amp;")"</f>
        <v>(Note O)</v>
      </c>
      <c r="F153" s="34"/>
      <c r="G153" s="2"/>
      <c r="H153" s="111">
        <v>0</v>
      </c>
      <c r="J153" s="111">
        <v>0</v>
      </c>
      <c r="K153" s="41">
        <f>$H153-J153</f>
        <v>0</v>
      </c>
      <c r="L153" s="44" t="str">
        <f>IF(J153=0,"n/m",K153/ABS(J153))</f>
        <v>n/m</v>
      </c>
      <c r="M153" s="2"/>
      <c r="N153" s="111">
        <v>0</v>
      </c>
      <c r="O153" s="41">
        <f>$H153-N153</f>
        <v>0</v>
      </c>
      <c r="P153" s="44" t="str">
        <f>IF(N153=0,"n/m",O153/ABS(N153))</f>
        <v>n/m</v>
      </c>
      <c r="Q153" s="24"/>
      <c r="R153" s="33"/>
    </row>
    <row r="154" spans="1:18" ht="15.75">
      <c r="A154" s="39"/>
      <c r="B154" s="98"/>
      <c r="C154" s="34"/>
      <c r="D154" s="2"/>
      <c r="E154" s="39"/>
      <c r="F154" s="38"/>
      <c r="G154" s="102"/>
      <c r="H154" s="99"/>
      <c r="J154" s="99"/>
      <c r="K154" s="99"/>
      <c r="L154" s="99"/>
      <c r="M154" s="2"/>
      <c r="N154" s="99"/>
      <c r="O154" s="99"/>
      <c r="P154" s="99"/>
      <c r="Q154" s="24"/>
      <c r="R154" s="33"/>
    </row>
    <row r="155" spans="1:18" ht="16.5" thickBot="1">
      <c r="A155" s="39">
        <f>+A153+1</f>
        <v>83</v>
      </c>
      <c r="B155" s="94" t="s">
        <v>114</v>
      </c>
      <c r="C155" s="94"/>
      <c r="D155" s="53"/>
      <c r="E155" s="85"/>
      <c r="F155" s="56" t="str">
        <f>"(Lines "&amp;A145&amp;" + "&amp;A151&amp;" + "&amp;A153&amp;")"</f>
        <v>(Lines 76 + 81 + 82)</v>
      </c>
      <c r="G155" s="131"/>
      <c r="H155" s="132">
        <f>H145+H151+H153</f>
        <v>157850800.46004128</v>
      </c>
      <c r="J155" s="1717">
        <v>148342499.23742253</v>
      </c>
      <c r="K155" s="87">
        <f>$H155-J155</f>
        <v>9508301.2226187587</v>
      </c>
      <c r="L155" s="59">
        <f>IF(J155=0,"n/m",K155/ABS(J155))</f>
        <v>6.4096946401049237E-2</v>
      </c>
      <c r="M155" s="17"/>
      <c r="N155" s="132">
        <v>150614980.74346867</v>
      </c>
      <c r="O155" s="87">
        <f>$H155-N155</f>
        <v>7235819.7165726125</v>
      </c>
      <c r="P155" s="59">
        <f>IF(N155=0,"n/m",O155/ABS(N155))</f>
        <v>4.8041832763613651E-2</v>
      </c>
      <c r="Q155" s="24"/>
      <c r="R155" s="33"/>
    </row>
    <row r="156" spans="1:18" ht="16.5" thickTop="1">
      <c r="A156" s="34"/>
      <c r="B156" s="2"/>
      <c r="C156" s="2"/>
      <c r="D156" s="2"/>
      <c r="E156" s="39"/>
      <c r="F156" s="2"/>
      <c r="G156" s="2"/>
      <c r="H156" s="45"/>
      <c r="J156" s="45"/>
      <c r="K156" s="45"/>
      <c r="L156" s="45"/>
      <c r="M156" s="2"/>
      <c r="N156" s="45"/>
      <c r="O156" s="45"/>
      <c r="P156" s="45"/>
      <c r="Q156" s="24"/>
      <c r="R156" s="33"/>
    </row>
    <row r="157" spans="1:18" ht="15.75">
      <c r="A157" s="27" t="s">
        <v>115</v>
      </c>
      <c r="B157" s="28"/>
      <c r="C157" s="122"/>
      <c r="D157" s="29"/>
      <c r="E157" s="133"/>
      <c r="F157" s="29"/>
      <c r="G157" s="29"/>
      <c r="H157" s="129"/>
      <c r="J157" s="129">
        <v>0</v>
      </c>
      <c r="K157" s="129"/>
      <c r="L157" s="129"/>
      <c r="M157" s="2"/>
      <c r="N157" s="129">
        <v>0</v>
      </c>
      <c r="O157" s="129"/>
      <c r="P157" s="129"/>
      <c r="Q157" s="24"/>
      <c r="R157" s="33"/>
    </row>
    <row r="158" spans="1:18" ht="15.75">
      <c r="A158" s="95"/>
      <c r="B158" s="39"/>
      <c r="C158" s="17"/>
      <c r="D158" s="2"/>
      <c r="E158" s="37"/>
      <c r="F158" s="2"/>
      <c r="G158" s="2"/>
      <c r="H158" s="128"/>
      <c r="J158" s="128"/>
      <c r="K158" s="128"/>
      <c r="L158" s="128"/>
      <c r="M158" s="2"/>
      <c r="N158" s="128"/>
      <c r="O158" s="128"/>
      <c r="P158" s="128"/>
      <c r="Q158" s="24"/>
      <c r="R158" s="33"/>
    </row>
    <row r="159" spans="1:18" ht="15.75">
      <c r="A159" s="39">
        <f>+A155+1</f>
        <v>84</v>
      </c>
      <c r="B159" s="97" t="s">
        <v>116</v>
      </c>
      <c r="C159" s="103"/>
      <c r="D159" s="2"/>
      <c r="E159" s="61"/>
      <c r="F159" s="2" t="s">
        <v>117</v>
      </c>
      <c r="G159" s="2"/>
      <c r="H159" s="134">
        <f>'Att 2 - Other Taxes'!F27</f>
        <v>56482207.012604967</v>
      </c>
      <c r="J159" s="135">
        <v>42647984.057653643</v>
      </c>
      <c r="K159" s="41">
        <f>$H159-J159</f>
        <v>13834222.954951324</v>
      </c>
      <c r="L159" s="44">
        <f>IF(J159=0,"n/m",K159/ABS(J159))</f>
        <v>0.32438163867838488</v>
      </c>
      <c r="M159" s="2"/>
      <c r="N159" s="135">
        <v>51062163.161550507</v>
      </c>
      <c r="O159" s="41">
        <f>$H159-N159</f>
        <v>5420043.8510544598</v>
      </c>
      <c r="P159" s="44">
        <f>IF(N159=0,"n/m",O159/ABS(N159))</f>
        <v>0.10614598981845953</v>
      </c>
      <c r="Q159" s="24"/>
      <c r="R159" s="33"/>
    </row>
    <row r="160" spans="1:18" ht="15.75">
      <c r="A160" s="39"/>
      <c r="B160" s="2"/>
      <c r="C160" s="2"/>
      <c r="D160" s="2"/>
      <c r="E160" s="39"/>
      <c r="F160" s="34"/>
      <c r="G160" s="2"/>
      <c r="H160" s="45"/>
      <c r="J160" s="45"/>
      <c r="K160" s="45"/>
      <c r="L160" s="45"/>
      <c r="M160" s="2"/>
      <c r="N160" s="45"/>
      <c r="O160" s="45"/>
      <c r="P160" s="45"/>
      <c r="Q160" s="24"/>
      <c r="R160" s="33"/>
    </row>
    <row r="161" spans="1:18" ht="16.5" thickBot="1">
      <c r="A161" s="39">
        <f>+A159+1</f>
        <v>85</v>
      </c>
      <c r="B161" s="53" t="s">
        <v>118</v>
      </c>
      <c r="C161" s="53"/>
      <c r="D161" s="53"/>
      <c r="E161" s="85"/>
      <c r="F161" s="56" t="str">
        <f>"(Line "&amp;A159&amp;")"</f>
        <v>(Line 84)</v>
      </c>
      <c r="G161" s="53"/>
      <c r="H161" s="86">
        <f>H159</f>
        <v>56482207.012604967</v>
      </c>
      <c r="J161" s="1713">
        <v>42647984.057653643</v>
      </c>
      <c r="K161" s="87">
        <f>$H161-J161</f>
        <v>13834222.954951324</v>
      </c>
      <c r="L161" s="59">
        <f>IF(J161=0,"n/m",K161/ABS(J161))</f>
        <v>0.32438163867838488</v>
      </c>
      <c r="M161" s="2"/>
      <c r="N161" s="86">
        <v>51062163.161550507</v>
      </c>
      <c r="O161" s="87">
        <f>$H161-N161</f>
        <v>5420043.8510544598</v>
      </c>
      <c r="P161" s="59">
        <f>IF(N161=0,"n/m",O161/ABS(N161))</f>
        <v>0.10614598981845953</v>
      </c>
      <c r="Q161" s="24"/>
      <c r="R161" s="33"/>
    </row>
    <row r="162" spans="1:18" ht="16.5" thickTop="1">
      <c r="A162" s="39"/>
      <c r="B162" s="2"/>
      <c r="C162" s="2"/>
      <c r="D162" s="2"/>
      <c r="E162" s="39"/>
      <c r="F162" s="2"/>
      <c r="G162" s="2"/>
      <c r="H162" s="45"/>
      <c r="J162" s="45"/>
      <c r="K162" s="45"/>
      <c r="L162" s="45"/>
      <c r="M162" s="2"/>
      <c r="N162" s="45"/>
      <c r="O162" s="45"/>
      <c r="P162" s="45"/>
      <c r="Q162" s="24"/>
      <c r="R162" s="33"/>
    </row>
    <row r="163" spans="1:18" ht="15.75">
      <c r="A163" s="27" t="s">
        <v>119</v>
      </c>
      <c r="B163" s="28"/>
      <c r="C163" s="122"/>
      <c r="D163" s="29"/>
      <c r="E163" s="67"/>
      <c r="F163" s="29"/>
      <c r="G163" s="29"/>
      <c r="H163" s="129"/>
      <c r="J163" s="129">
        <v>0</v>
      </c>
      <c r="K163" s="129"/>
      <c r="L163" s="129"/>
      <c r="M163" s="2"/>
      <c r="N163" s="129">
        <v>0</v>
      </c>
      <c r="O163" s="129"/>
      <c r="P163" s="129"/>
      <c r="Q163" s="24"/>
      <c r="R163" s="33"/>
    </row>
    <row r="164" spans="1:18" ht="15.75">
      <c r="A164" s="34"/>
      <c r="B164" s="39"/>
      <c r="C164" s="17"/>
      <c r="D164" s="2"/>
      <c r="E164" s="37"/>
      <c r="F164" s="2"/>
      <c r="G164" s="2"/>
      <c r="H164" s="128"/>
      <c r="J164" s="128"/>
      <c r="K164" s="128"/>
      <c r="L164" s="128"/>
      <c r="M164" s="2"/>
      <c r="N164" s="128"/>
      <c r="O164" s="128"/>
      <c r="P164" s="128"/>
      <c r="Q164" s="24"/>
      <c r="R164" s="33"/>
    </row>
    <row r="165" spans="1:18" ht="18.75">
      <c r="A165" s="136"/>
      <c r="B165" s="137" t="s">
        <v>120</v>
      </c>
      <c r="C165" s="2"/>
      <c r="D165" s="138"/>
      <c r="E165" s="138"/>
      <c r="F165" s="139"/>
      <c r="G165" s="140"/>
      <c r="H165" s="140"/>
      <c r="J165" s="140"/>
      <c r="K165" s="140"/>
      <c r="L165" s="140"/>
      <c r="M165" s="2"/>
      <c r="N165" s="140"/>
      <c r="O165" s="140"/>
      <c r="P165" s="140"/>
      <c r="Q165" s="24"/>
      <c r="R165" s="33"/>
    </row>
    <row r="166" spans="1:18" ht="18.75">
      <c r="A166" s="136">
        <f>SUM(A161+1)</f>
        <v>86</v>
      </c>
      <c r="B166" s="138"/>
      <c r="C166" s="140" t="s">
        <v>121</v>
      </c>
      <c r="D166" s="2"/>
      <c r="E166" s="140"/>
      <c r="F166" s="140" t="s">
        <v>122</v>
      </c>
      <c r="G166" s="140"/>
      <c r="H166" s="140">
        <f>'Att 14 - Cost of Capital Detail'!C6</f>
        <v>13681003846.153847</v>
      </c>
      <c r="J166" s="141">
        <v>8832457692.3076916</v>
      </c>
      <c r="K166" s="41">
        <f>$H166-J166</f>
        <v>4848546153.8461552</v>
      </c>
      <c r="L166" s="44">
        <f>IF(J166=0,"n/m",K166/ABS(J166))</f>
        <v>0.54894643402241494</v>
      </c>
      <c r="M166" s="2"/>
      <c r="N166" s="141">
        <v>10262073076.923077</v>
      </c>
      <c r="O166" s="41">
        <f>$H166-N166</f>
        <v>3418930769.2307701</v>
      </c>
      <c r="P166" s="44">
        <f>IF(N166=0,"n/m",O166/ABS(N166))</f>
        <v>0.33316180303949694</v>
      </c>
      <c r="Q166" s="24"/>
      <c r="R166" s="33"/>
    </row>
    <row r="167" spans="1:18" ht="18.75">
      <c r="A167" s="136">
        <f>SUM(A166+1)</f>
        <v>87</v>
      </c>
      <c r="B167" s="138"/>
      <c r="C167" s="140" t="s">
        <v>123</v>
      </c>
      <c r="D167" s="2"/>
      <c r="E167" s="2"/>
      <c r="F167" s="140" t="s">
        <v>122</v>
      </c>
      <c r="G167" s="140"/>
      <c r="H167" s="140">
        <f>'Att 14 - Cost of Capital Detail'!C7</f>
        <v>0</v>
      </c>
      <c r="J167" s="141">
        <v>0</v>
      </c>
      <c r="K167" s="41">
        <f>$H167-J167</f>
        <v>0</v>
      </c>
      <c r="L167" s="44" t="str">
        <f>IF(J167=0,"n/m",K167/ABS(J167))</f>
        <v>n/m</v>
      </c>
      <c r="M167" s="2"/>
      <c r="N167" s="141">
        <v>0</v>
      </c>
      <c r="O167" s="41">
        <f>$H167-N167</f>
        <v>0</v>
      </c>
      <c r="P167" s="44" t="str">
        <f>IF(N167=0,"n/m",O167/ABS(N167))</f>
        <v>n/m</v>
      </c>
      <c r="Q167" s="24"/>
      <c r="R167" s="33"/>
    </row>
    <row r="168" spans="1:18" ht="18.75">
      <c r="A168" s="136">
        <f>SUM(A167+1)</f>
        <v>88</v>
      </c>
      <c r="B168" s="138"/>
      <c r="C168" s="140" t="s">
        <v>124</v>
      </c>
      <c r="D168" s="2"/>
      <c r="E168" s="142"/>
      <c r="F168" s="140" t="s">
        <v>122</v>
      </c>
      <c r="G168" s="140"/>
      <c r="H168" s="140">
        <f>'Att 14 - Cost of Capital Detail'!C8</f>
        <v>0</v>
      </c>
      <c r="J168" s="141">
        <v>0</v>
      </c>
      <c r="K168" s="41">
        <f>$H168-J168</f>
        <v>0</v>
      </c>
      <c r="L168" s="44" t="str">
        <f>IF(J168=0,"n/m",K168/ABS(J168))</f>
        <v>n/m</v>
      </c>
      <c r="M168" s="2"/>
      <c r="N168" s="141">
        <v>0</v>
      </c>
      <c r="O168" s="41">
        <f>$H168-N168</f>
        <v>0</v>
      </c>
      <c r="P168" s="44" t="str">
        <f>IF(N168=0,"n/m",O168/ABS(N168))</f>
        <v>n/m</v>
      </c>
      <c r="Q168" s="24"/>
      <c r="R168" s="33"/>
    </row>
    <row r="169" spans="1:18" ht="18.75">
      <c r="A169" s="136">
        <f>SUM(A168+1)</f>
        <v>89</v>
      </c>
      <c r="B169" s="138"/>
      <c r="C169" s="140" t="s">
        <v>125</v>
      </c>
      <c r="D169" s="2"/>
      <c r="E169" s="140"/>
      <c r="F169" s="140" t="s">
        <v>122</v>
      </c>
      <c r="G169" s="140"/>
      <c r="H169" s="140">
        <f>'Att 14 - Cost of Capital Detail'!C9</f>
        <v>0</v>
      </c>
      <c r="J169" s="141">
        <v>0</v>
      </c>
      <c r="K169" s="41">
        <f>$H169-J169</f>
        <v>0</v>
      </c>
      <c r="L169" s="44" t="str">
        <f>IF(J169=0,"n/m",K169/ABS(J169))</f>
        <v>n/m</v>
      </c>
      <c r="M169" s="2"/>
      <c r="N169" s="141">
        <v>0</v>
      </c>
      <c r="O169" s="41">
        <f>$H169-N169</f>
        <v>0</v>
      </c>
      <c r="P169" s="44" t="str">
        <f>IF(N169=0,"n/m",O169/ABS(N169))</f>
        <v>n/m</v>
      </c>
      <c r="Q169" s="24"/>
      <c r="R169" s="33"/>
    </row>
    <row r="170" spans="1:18" ht="18.75">
      <c r="A170" s="136">
        <f t="shared" ref="A170:A177" si="6">SUM(A169+1)</f>
        <v>90</v>
      </c>
      <c r="B170" s="138"/>
      <c r="C170" s="143" t="s">
        <v>126</v>
      </c>
      <c r="D170" s="47"/>
      <c r="E170" s="144"/>
      <c r="F170" s="144" t="str">
        <f>"Sum Lines "&amp;A166&amp;" through "&amp;A169</f>
        <v>Sum Lines 86 through 89</v>
      </c>
      <c r="G170" s="144"/>
      <c r="H170" s="145">
        <f>H166-H167+H168+H169</f>
        <v>13681003846.153847</v>
      </c>
      <c r="J170" s="1718">
        <v>8832457692.3076916</v>
      </c>
      <c r="K170" s="51">
        <f>$H170-J170</f>
        <v>4848546153.8461552</v>
      </c>
      <c r="L170" s="52">
        <f>IF(J170=0,"n/m",K170/ABS(J170))</f>
        <v>0.54894643402241494</v>
      </c>
      <c r="M170" s="2"/>
      <c r="N170" s="145">
        <v>10262073076.923077</v>
      </c>
      <c r="O170" s="51">
        <f>$H170-N170</f>
        <v>3418930769.2307701</v>
      </c>
      <c r="P170" s="52">
        <f>IF(N170=0,"n/m",O170/ABS(N170))</f>
        <v>0.33316180303949694</v>
      </c>
      <c r="Q170" s="24"/>
      <c r="R170" s="33"/>
    </row>
    <row r="171" spans="1:18" ht="18.75">
      <c r="A171" s="136"/>
      <c r="B171" s="138"/>
      <c r="C171" s="146"/>
      <c r="D171" s="2"/>
      <c r="E171" s="140"/>
      <c r="F171" s="140"/>
      <c r="G171" s="140"/>
      <c r="H171" s="140"/>
      <c r="J171" s="140"/>
      <c r="K171" s="140"/>
      <c r="L171" s="140"/>
      <c r="M171" s="2"/>
      <c r="N171" s="140"/>
      <c r="O171" s="140"/>
      <c r="P171" s="140"/>
      <c r="Q171" s="24"/>
      <c r="R171" s="33"/>
    </row>
    <row r="172" spans="1:18" ht="18.75">
      <c r="A172" s="136">
        <f>SUM(A170+1)</f>
        <v>91</v>
      </c>
      <c r="B172" s="138"/>
      <c r="C172" s="140" t="s">
        <v>127</v>
      </c>
      <c r="D172" s="2"/>
      <c r="E172" s="61" t="str">
        <f>"(Note "&amp;B$334&amp;")"</f>
        <v>(Note T)</v>
      </c>
      <c r="F172" s="140" t="s">
        <v>122</v>
      </c>
      <c r="G172" s="140"/>
      <c r="H172" s="140">
        <f>'Att 14 - Cost of Capital Detail'!C10</f>
        <v>36094874.58461538</v>
      </c>
      <c r="J172" s="141">
        <v>24107930.894615386</v>
      </c>
      <c r="K172" s="41">
        <f t="shared" ref="K172:K177" si="7">$H172-J172</f>
        <v>11986943.689999994</v>
      </c>
      <c r="L172" s="44">
        <f t="shared" ref="L172:L177" si="8">IF(J172=0,"n/m",K172/ABS(J172))</f>
        <v>0.4972199290930161</v>
      </c>
      <c r="M172" s="2"/>
      <c r="N172" s="141">
        <v>26147759.093846157</v>
      </c>
      <c r="O172" s="41">
        <f t="shared" ref="O172:O177" si="9">$H172-N172</f>
        <v>9947115.4907692224</v>
      </c>
      <c r="P172" s="44">
        <f t="shared" ref="P172:P177" si="10">IF(N172=0,"n/m",O172/ABS(N172))</f>
        <v>0.38041942543023749</v>
      </c>
      <c r="Q172" s="24"/>
      <c r="R172" s="33"/>
    </row>
    <row r="173" spans="1:18" ht="18.75">
      <c r="A173" s="136">
        <f t="shared" si="6"/>
        <v>92</v>
      </c>
      <c r="B173" s="138"/>
      <c r="C173" s="140" t="s">
        <v>128</v>
      </c>
      <c r="D173" s="2"/>
      <c r="E173" s="61" t="str">
        <f>"(Note "&amp;B$334&amp;")"</f>
        <v>(Note T)</v>
      </c>
      <c r="F173" s="140" t="s">
        <v>122</v>
      </c>
      <c r="G173" s="140"/>
      <c r="H173" s="140">
        <f>'Att 14 - Cost of Capital Detail'!C11</f>
        <v>78055909.230769232</v>
      </c>
      <c r="J173" s="141">
        <v>42264539.470769219</v>
      </c>
      <c r="K173" s="41">
        <f t="shared" si="7"/>
        <v>35791369.760000013</v>
      </c>
      <c r="L173" s="44">
        <f t="shared" si="8"/>
        <v>0.84684158891057726</v>
      </c>
      <c r="M173" s="2"/>
      <c r="N173" s="141">
        <v>54548130.23384615</v>
      </c>
      <c r="O173" s="41">
        <f t="shared" si="9"/>
        <v>23507778.996923082</v>
      </c>
      <c r="P173" s="44">
        <f t="shared" si="10"/>
        <v>0.43095480809600545</v>
      </c>
      <c r="Q173" s="24"/>
      <c r="R173" s="33"/>
    </row>
    <row r="174" spans="1:18" ht="18.75">
      <c r="A174" s="136">
        <f t="shared" si="6"/>
        <v>93</v>
      </c>
      <c r="B174" s="138"/>
      <c r="C174" s="140" t="s">
        <v>129</v>
      </c>
      <c r="D174" s="2"/>
      <c r="E174" s="61" t="str">
        <f>"(Note "&amp;B$334&amp;")"</f>
        <v>(Note T)</v>
      </c>
      <c r="F174" s="140" t="s">
        <v>122</v>
      </c>
      <c r="G174" s="140"/>
      <c r="H174" s="140">
        <f>'Att 14 - Cost of Capital Detail'!C12</f>
        <v>1829740.3984615388</v>
      </c>
      <c r="J174" s="141">
        <v>2596857.8999999994</v>
      </c>
      <c r="K174" s="41">
        <f t="shared" si="7"/>
        <v>-767117.50153846061</v>
      </c>
      <c r="L174" s="44">
        <f t="shared" si="8"/>
        <v>-0.29540218644172284</v>
      </c>
      <c r="M174" s="2"/>
      <c r="N174" s="141">
        <v>2190880.0046153846</v>
      </c>
      <c r="O174" s="41">
        <f t="shared" si="9"/>
        <v>-361139.60615384579</v>
      </c>
      <c r="P174" s="44">
        <f t="shared" si="10"/>
        <v>-0.16483769325250877</v>
      </c>
      <c r="Q174" s="24"/>
      <c r="R174" s="33"/>
    </row>
    <row r="175" spans="1:18" ht="18.75">
      <c r="A175" s="136">
        <f t="shared" si="6"/>
        <v>94</v>
      </c>
      <c r="B175" s="138"/>
      <c r="C175" s="140" t="s">
        <v>130</v>
      </c>
      <c r="D175" s="2"/>
      <c r="E175" s="61" t="str">
        <f>"(Note "&amp;B$334&amp;")"</f>
        <v>(Note T)</v>
      </c>
      <c r="F175" s="140" t="s">
        <v>122</v>
      </c>
      <c r="G175" s="140"/>
      <c r="H175" s="140">
        <f>'Att 14 - Cost of Capital Detail'!C13</f>
        <v>0</v>
      </c>
      <c r="J175" s="141">
        <v>1585.5953846153845</v>
      </c>
      <c r="K175" s="41">
        <f t="shared" si="7"/>
        <v>-1585.5953846153845</v>
      </c>
      <c r="L175" s="44">
        <f t="shared" si="8"/>
        <v>-1</v>
      </c>
      <c r="M175" s="2"/>
      <c r="N175" s="141">
        <v>17.423846153846153</v>
      </c>
      <c r="O175" s="41">
        <f t="shared" si="9"/>
        <v>-17.423846153846153</v>
      </c>
      <c r="P175" s="44">
        <f t="shared" si="10"/>
        <v>-1</v>
      </c>
      <c r="Q175" s="24"/>
      <c r="R175" s="33"/>
    </row>
    <row r="176" spans="1:18" ht="18.75">
      <c r="A176" s="136">
        <f t="shared" si="6"/>
        <v>95</v>
      </c>
      <c r="B176" s="138"/>
      <c r="C176" s="140" t="s">
        <v>131</v>
      </c>
      <c r="D176" s="2"/>
      <c r="E176" s="61" t="str">
        <f>"(Note "&amp;B$334&amp;")"</f>
        <v>(Note T)</v>
      </c>
      <c r="F176" s="140" t="s">
        <v>122</v>
      </c>
      <c r="G176" s="140"/>
      <c r="H176" s="140">
        <f>'Att 14 - Cost of Capital Detail'!C14</f>
        <v>0</v>
      </c>
      <c r="J176" s="141">
        <v>0</v>
      </c>
      <c r="K176" s="41">
        <f t="shared" si="7"/>
        <v>0</v>
      </c>
      <c r="L176" s="44" t="str">
        <f t="shared" si="8"/>
        <v>n/m</v>
      </c>
      <c r="M176" s="2"/>
      <c r="N176" s="141">
        <v>0</v>
      </c>
      <c r="O176" s="41">
        <f t="shared" si="9"/>
        <v>0</v>
      </c>
      <c r="P176" s="44" t="str">
        <f t="shared" si="10"/>
        <v>n/m</v>
      </c>
      <c r="Q176" s="24"/>
      <c r="R176" s="33"/>
    </row>
    <row r="177" spans="1:18" ht="18.75">
      <c r="A177" s="136">
        <f t="shared" si="6"/>
        <v>96</v>
      </c>
      <c r="B177" s="138"/>
      <c r="C177" s="143" t="s">
        <v>132</v>
      </c>
      <c r="D177" s="47"/>
      <c r="E177" s="144"/>
      <c r="F177" s="144" t="str">
        <f>"Sum Lines "&amp;A170&amp;" through "&amp;A176</f>
        <v>Sum Lines 90 through 95</v>
      </c>
      <c r="G177" s="144"/>
      <c r="H177" s="145">
        <f>+H170-H172-H173-H174+H175+H176</f>
        <v>13565023321.939999</v>
      </c>
      <c r="J177" s="1718">
        <v>8763489949.6376915</v>
      </c>
      <c r="K177" s="51">
        <f t="shared" si="7"/>
        <v>4801533372.3023071</v>
      </c>
      <c r="L177" s="52">
        <f t="shared" si="8"/>
        <v>0.54790196598568774</v>
      </c>
      <c r="M177" s="2"/>
      <c r="N177" s="145">
        <v>10179186325.014614</v>
      </c>
      <c r="O177" s="51">
        <f t="shared" si="9"/>
        <v>3385836996.9253845</v>
      </c>
      <c r="P177" s="52">
        <f t="shared" si="10"/>
        <v>0.3326235407053052</v>
      </c>
      <c r="Q177" s="24"/>
      <c r="R177" s="33"/>
    </row>
    <row r="178" spans="1:18" ht="18.75">
      <c r="A178" s="136"/>
      <c r="B178" s="138"/>
      <c r="C178" s="146"/>
      <c r="D178" s="2"/>
      <c r="E178" s="140"/>
      <c r="F178" s="140"/>
      <c r="G178" s="140"/>
      <c r="H178" s="140"/>
      <c r="J178" s="140"/>
      <c r="K178" s="140"/>
      <c r="L178" s="140"/>
      <c r="M178" s="2"/>
      <c r="N178" s="140"/>
      <c r="O178" s="140"/>
      <c r="P178" s="140"/>
      <c r="Q178" s="24"/>
      <c r="R178" s="33"/>
    </row>
    <row r="179" spans="1:18" ht="15.75">
      <c r="A179" s="136"/>
      <c r="B179" s="137" t="s">
        <v>133</v>
      </c>
      <c r="C179" s="2"/>
      <c r="D179" s="2"/>
      <c r="E179" s="140"/>
      <c r="F179" s="140"/>
      <c r="G179" s="140"/>
      <c r="H179" s="140"/>
      <c r="J179" s="140"/>
      <c r="K179" s="140"/>
      <c r="L179" s="140"/>
      <c r="M179" s="2"/>
      <c r="N179" s="140"/>
      <c r="O179" s="140"/>
      <c r="P179" s="140"/>
      <c r="Q179" s="24"/>
      <c r="R179" s="33"/>
    </row>
    <row r="180" spans="1:18" ht="18.75">
      <c r="A180" s="136">
        <f>A177+1</f>
        <v>97</v>
      </c>
      <c r="B180" s="138"/>
      <c r="C180" s="140" t="s">
        <v>134</v>
      </c>
      <c r="D180" s="2"/>
      <c r="E180" s="61" t="str">
        <f>"(Notes "&amp;$B$328&amp;" &amp; "&amp;$B$334&amp;")"</f>
        <v>(Notes R &amp; T)</v>
      </c>
      <c r="F180" s="140" t="s">
        <v>122</v>
      </c>
      <c r="G180" s="140"/>
      <c r="H180" s="140">
        <f>'Att 14 - Cost of Capital Detail'!C15</f>
        <v>696924772.85000002</v>
      </c>
      <c r="J180" s="141">
        <v>404320903.76999998</v>
      </c>
      <c r="K180" s="41">
        <f t="shared" ref="K180:K186" si="11">$H180-J180</f>
        <v>292603869.08000004</v>
      </c>
      <c r="L180" s="44">
        <f t="shared" ref="L180:L186" si="12">IF(J180=0,"n/m",K180/ABS(J180))</f>
        <v>0.72369216221986199</v>
      </c>
      <c r="M180" s="2"/>
      <c r="N180" s="141">
        <v>486803422.75</v>
      </c>
      <c r="O180" s="41">
        <f t="shared" ref="O180:O186" si="13">$H180-N180</f>
        <v>210121350.10000002</v>
      </c>
      <c r="P180" s="44">
        <f t="shared" ref="P180:P186" si="14">IF(N180=0,"n/m",O180/ABS(N180))</f>
        <v>0.43163490698772006</v>
      </c>
      <c r="Q180" s="24"/>
      <c r="R180" s="33"/>
    </row>
    <row r="181" spans="1:18" ht="18.75">
      <c r="A181" s="136">
        <f t="shared" ref="A181:A186" si="15">A180+1</f>
        <v>98</v>
      </c>
      <c r="B181" s="138"/>
      <c r="C181" s="140" t="s">
        <v>135</v>
      </c>
      <c r="D181" s="2"/>
      <c r="E181" s="61" t="str">
        <f>"(Note "&amp;$B$328&amp;")"</f>
        <v>(Note R)</v>
      </c>
      <c r="F181" s="140" t="s">
        <v>122</v>
      </c>
      <c r="G181" s="140"/>
      <c r="H181" s="140">
        <f>'Att 14 - Cost of Capital Detail'!C16</f>
        <v>0</v>
      </c>
      <c r="J181" s="141">
        <v>0</v>
      </c>
      <c r="K181" s="41">
        <f t="shared" si="11"/>
        <v>0</v>
      </c>
      <c r="L181" s="44" t="str">
        <f t="shared" si="12"/>
        <v>n/m</v>
      </c>
      <c r="M181" s="2"/>
      <c r="N181" s="141">
        <v>0</v>
      </c>
      <c r="O181" s="41">
        <f t="shared" si="13"/>
        <v>0</v>
      </c>
      <c r="P181" s="44" t="str">
        <f t="shared" si="14"/>
        <v>n/m</v>
      </c>
      <c r="Q181" s="24"/>
      <c r="R181" s="33"/>
    </row>
    <row r="182" spans="1:18" ht="18.75">
      <c r="A182" s="136">
        <f t="shared" si="15"/>
        <v>99</v>
      </c>
      <c r="B182" s="138"/>
      <c r="C182" s="140" t="s">
        <v>136</v>
      </c>
      <c r="D182" s="2"/>
      <c r="E182" s="61" t="str">
        <f>"(Note "&amp;B$334&amp;")"</f>
        <v>(Note T)</v>
      </c>
      <c r="F182" s="140" t="s">
        <v>122</v>
      </c>
      <c r="G182" s="140"/>
      <c r="H182" s="140">
        <f>'Att 14 - Cost of Capital Detail'!C17</f>
        <v>7245224.6200000001</v>
      </c>
      <c r="J182" s="141">
        <v>4457194.8500000006</v>
      </c>
      <c r="K182" s="41">
        <f t="shared" si="11"/>
        <v>2788029.7699999996</v>
      </c>
      <c r="L182" s="44">
        <f t="shared" si="12"/>
        <v>0.62551220303954158</v>
      </c>
      <c r="M182" s="2"/>
      <c r="N182" s="141">
        <v>4869406.6900000004</v>
      </c>
      <c r="O182" s="41">
        <f t="shared" si="13"/>
        <v>2375817.9299999997</v>
      </c>
      <c r="P182" s="44">
        <f t="shared" si="14"/>
        <v>0.487907065737407</v>
      </c>
      <c r="Q182" s="24"/>
      <c r="R182" s="33"/>
    </row>
    <row r="183" spans="1:18" ht="18.75">
      <c r="A183" s="136">
        <f t="shared" si="15"/>
        <v>100</v>
      </c>
      <c r="B183" s="138"/>
      <c r="C183" s="140" t="s">
        <v>137</v>
      </c>
      <c r="D183" s="2"/>
      <c r="E183" s="61" t="str">
        <f>"(Note "&amp;B$334&amp;")"</f>
        <v>(Note T)</v>
      </c>
      <c r="F183" s="140" t="s">
        <v>122</v>
      </c>
      <c r="G183" s="140"/>
      <c r="H183" s="140">
        <f>'Att 14 - Cost of Capital Detail'!C18</f>
        <v>325025.08999999997</v>
      </c>
      <c r="J183" s="141">
        <v>443653.05999999994</v>
      </c>
      <c r="K183" s="41">
        <f t="shared" si="11"/>
        <v>-118627.96999999997</v>
      </c>
      <c r="L183" s="44">
        <f t="shared" si="12"/>
        <v>-0.26738904945229047</v>
      </c>
      <c r="M183" s="2"/>
      <c r="N183" s="141">
        <v>394621.02999999997</v>
      </c>
      <c r="O183" s="41">
        <f t="shared" si="13"/>
        <v>-69595.94</v>
      </c>
      <c r="P183" s="44">
        <f t="shared" si="14"/>
        <v>-0.17636145747224877</v>
      </c>
      <c r="Q183" s="24"/>
      <c r="R183" s="33"/>
    </row>
    <row r="184" spans="1:18" ht="18.75">
      <c r="A184" s="136">
        <f t="shared" si="15"/>
        <v>101</v>
      </c>
      <c r="B184" s="138"/>
      <c r="C184" s="140" t="s">
        <v>138</v>
      </c>
      <c r="D184" s="2"/>
      <c r="E184" s="61" t="str">
        <f>"(Note "&amp;B$334&amp;")"</f>
        <v>(Note T)</v>
      </c>
      <c r="F184" s="140" t="s">
        <v>122</v>
      </c>
      <c r="G184" s="140"/>
      <c r="H184" s="140">
        <f>'Att 14 - Cost of Capital Detail'!C19</f>
        <v>226.51</v>
      </c>
      <c r="J184" s="141">
        <v>2717.6600000000003</v>
      </c>
      <c r="K184" s="41">
        <f t="shared" si="11"/>
        <v>-2491.1500000000005</v>
      </c>
      <c r="L184" s="44">
        <f t="shared" si="12"/>
        <v>-0.91665256139472939</v>
      </c>
      <c r="M184" s="2"/>
      <c r="N184" s="141">
        <v>226.51</v>
      </c>
      <c r="O184" s="41">
        <f t="shared" si="13"/>
        <v>0</v>
      </c>
      <c r="P184" s="44">
        <f t="shared" si="14"/>
        <v>0</v>
      </c>
      <c r="Q184" s="24"/>
      <c r="R184" s="33"/>
    </row>
    <row r="185" spans="1:18" ht="18.75">
      <c r="A185" s="136">
        <f t="shared" si="15"/>
        <v>102</v>
      </c>
      <c r="B185" s="138"/>
      <c r="C185" s="140" t="s">
        <v>139</v>
      </c>
      <c r="D185" s="2"/>
      <c r="E185" s="61" t="str">
        <f>"(Note "&amp;B$334&amp;")"</f>
        <v>(Note T)</v>
      </c>
      <c r="F185" s="140" t="s">
        <v>122</v>
      </c>
      <c r="G185" s="140"/>
      <c r="H185" s="140">
        <f>'Att 14 - Cost of Capital Detail'!C20</f>
        <v>0</v>
      </c>
      <c r="J185" s="141">
        <v>0</v>
      </c>
      <c r="K185" s="41">
        <f t="shared" si="11"/>
        <v>0</v>
      </c>
      <c r="L185" s="44" t="str">
        <f t="shared" si="12"/>
        <v>n/m</v>
      </c>
      <c r="M185" s="2"/>
      <c r="N185" s="141">
        <v>0</v>
      </c>
      <c r="O185" s="41">
        <f t="shared" si="13"/>
        <v>0</v>
      </c>
      <c r="P185" s="44" t="str">
        <f t="shared" si="14"/>
        <v>n/m</v>
      </c>
      <c r="Q185" s="24"/>
      <c r="R185" s="33"/>
    </row>
    <row r="186" spans="1:18" ht="18.75">
      <c r="A186" s="136">
        <f t="shared" si="15"/>
        <v>103</v>
      </c>
      <c r="B186" s="138"/>
      <c r="C186" s="143" t="s">
        <v>140</v>
      </c>
      <c r="D186" s="47"/>
      <c r="E186" s="47"/>
      <c r="F186" s="144" t="str">
        <f>"Sum Lines "&amp;A180&amp;" through "&amp;A185</f>
        <v>Sum Lines 97 through 102</v>
      </c>
      <c r="G186" s="144"/>
      <c r="H186" s="145">
        <f>+H180-H181+H182+H183-H184-H185</f>
        <v>704494796.05000007</v>
      </c>
      <c r="J186" s="1718">
        <v>409219034.01999998</v>
      </c>
      <c r="K186" s="51">
        <f t="shared" si="11"/>
        <v>295275762.03000009</v>
      </c>
      <c r="L186" s="52">
        <f t="shared" si="12"/>
        <v>0.72155920786316341</v>
      </c>
      <c r="M186" s="2"/>
      <c r="N186" s="145">
        <v>492067223.95999998</v>
      </c>
      <c r="O186" s="51">
        <f t="shared" si="13"/>
        <v>212427572.09000009</v>
      </c>
      <c r="P186" s="52">
        <f t="shared" si="14"/>
        <v>0.43170437238320974</v>
      </c>
      <c r="Q186" s="24"/>
      <c r="R186" s="33"/>
    </row>
    <row r="187" spans="1:18" ht="18.75">
      <c r="A187" s="147"/>
      <c r="B187" s="138"/>
      <c r="C187" s="140"/>
      <c r="D187" s="2"/>
      <c r="E187" s="140"/>
      <c r="F187" s="140"/>
      <c r="G187" s="140"/>
      <c r="H187" s="140"/>
      <c r="J187" s="140"/>
      <c r="K187" s="140"/>
      <c r="L187" s="140"/>
      <c r="M187" s="2"/>
      <c r="N187" s="140"/>
      <c r="O187" s="140"/>
      <c r="P187" s="140"/>
      <c r="Q187" s="24"/>
      <c r="R187" s="33"/>
    </row>
    <row r="188" spans="1:18" ht="18.75">
      <c r="A188" s="136"/>
      <c r="B188" s="137" t="s">
        <v>141</v>
      </c>
      <c r="C188" s="2"/>
      <c r="D188" s="2"/>
      <c r="E188" s="138"/>
      <c r="F188" s="140"/>
      <c r="G188" s="140"/>
      <c r="H188" s="140"/>
      <c r="J188" s="140"/>
      <c r="K188" s="140"/>
      <c r="L188" s="140"/>
      <c r="M188" s="2"/>
      <c r="N188" s="140"/>
      <c r="O188" s="140"/>
      <c r="P188" s="140"/>
      <c r="Q188" s="24"/>
      <c r="R188" s="33"/>
    </row>
    <row r="189" spans="1:18" ht="18.75">
      <c r="A189" s="136">
        <f>+A186+1</f>
        <v>104</v>
      </c>
      <c r="B189" s="138"/>
      <c r="C189" s="140" t="s">
        <v>142</v>
      </c>
      <c r="D189" s="2"/>
      <c r="E189" s="140"/>
      <c r="F189" s="140" t="s">
        <v>122</v>
      </c>
      <c r="G189" s="140"/>
      <c r="H189" s="140">
        <f>'Att 14 - Cost of Capital Detail'!C21</f>
        <v>2397600</v>
      </c>
      <c r="J189" s="141">
        <v>2397600</v>
      </c>
      <c r="K189" s="41">
        <f t="shared" ref="K189:K195" si="16">$H189-J189</f>
        <v>0</v>
      </c>
      <c r="L189" s="44">
        <f t="shared" ref="L189:L195" si="17">IF(J189=0,"n/m",K189/ABS(J189))</f>
        <v>0</v>
      </c>
      <c r="M189" s="2"/>
      <c r="N189" s="141">
        <v>2397600</v>
      </c>
      <c r="O189" s="41">
        <f t="shared" ref="O189:O195" si="18">$H189-N189</f>
        <v>0</v>
      </c>
      <c r="P189" s="44">
        <f t="shared" ref="P189:P195" si="19">IF(N189=0,"n/m",O189/ABS(N189))</f>
        <v>0</v>
      </c>
      <c r="Q189" s="24"/>
      <c r="R189" s="33"/>
    </row>
    <row r="190" spans="1:18" ht="18.75">
      <c r="A190" s="136">
        <f t="shared" ref="A190:A203" si="20">+A189+1</f>
        <v>105</v>
      </c>
      <c r="B190" s="138"/>
      <c r="C190" s="140" t="s">
        <v>143</v>
      </c>
      <c r="D190" s="2"/>
      <c r="E190" s="140"/>
      <c r="F190" s="140" t="s">
        <v>122</v>
      </c>
      <c r="G190" s="140"/>
      <c r="H190" s="140">
        <f>'Att 14 - Cost of Capital Detail'!C22</f>
        <v>0</v>
      </c>
      <c r="J190" s="141">
        <v>0</v>
      </c>
      <c r="K190" s="41">
        <f t="shared" si="16"/>
        <v>0</v>
      </c>
      <c r="L190" s="44" t="str">
        <f t="shared" si="17"/>
        <v>n/m</v>
      </c>
      <c r="M190" s="2"/>
      <c r="N190" s="141">
        <v>0</v>
      </c>
      <c r="O190" s="41">
        <f t="shared" si="18"/>
        <v>0</v>
      </c>
      <c r="P190" s="44" t="str">
        <f t="shared" si="19"/>
        <v>n/m</v>
      </c>
      <c r="Q190" s="24"/>
      <c r="R190" s="33"/>
    </row>
    <row r="191" spans="1:18" ht="18.75">
      <c r="A191" s="136">
        <f t="shared" si="20"/>
        <v>106</v>
      </c>
      <c r="B191" s="138"/>
      <c r="C191" s="140" t="s">
        <v>144</v>
      </c>
      <c r="D191" s="2"/>
      <c r="E191" s="140"/>
      <c r="F191" s="140" t="s">
        <v>122</v>
      </c>
      <c r="G191" s="140"/>
      <c r="H191" s="140">
        <f>'Att 14 - Cost of Capital Detail'!C23</f>
        <v>0</v>
      </c>
      <c r="J191" s="141">
        <v>0</v>
      </c>
      <c r="K191" s="41">
        <f t="shared" si="16"/>
        <v>0</v>
      </c>
      <c r="L191" s="44" t="str">
        <f t="shared" si="17"/>
        <v>n/m</v>
      </c>
      <c r="M191" s="2"/>
      <c r="N191" s="141">
        <v>0</v>
      </c>
      <c r="O191" s="41">
        <f t="shared" si="18"/>
        <v>0</v>
      </c>
      <c r="P191" s="44" t="str">
        <f t="shared" si="19"/>
        <v>n/m</v>
      </c>
      <c r="Q191" s="24"/>
      <c r="R191" s="33"/>
    </row>
    <row r="192" spans="1:18" ht="18.75">
      <c r="A192" s="136">
        <f t="shared" si="20"/>
        <v>107</v>
      </c>
      <c r="B192" s="138"/>
      <c r="C192" s="140" t="s">
        <v>145</v>
      </c>
      <c r="D192" s="2"/>
      <c r="E192" s="140"/>
      <c r="F192" s="140" t="s">
        <v>122</v>
      </c>
      <c r="G192" s="140"/>
      <c r="H192" s="140">
        <f>'Att 14 - Cost of Capital Detail'!C24</f>
        <v>0</v>
      </c>
      <c r="J192" s="141">
        <v>0</v>
      </c>
      <c r="K192" s="41">
        <f t="shared" si="16"/>
        <v>0</v>
      </c>
      <c r="L192" s="44" t="str">
        <f t="shared" si="17"/>
        <v>n/m</v>
      </c>
      <c r="M192" s="2"/>
      <c r="N192" s="141">
        <v>0</v>
      </c>
      <c r="O192" s="41">
        <f t="shared" si="18"/>
        <v>0</v>
      </c>
      <c r="P192" s="44" t="str">
        <f t="shared" si="19"/>
        <v>n/m</v>
      </c>
      <c r="Q192" s="24"/>
      <c r="R192" s="33"/>
    </row>
    <row r="193" spans="1:18" ht="18.75">
      <c r="A193" s="136">
        <f t="shared" si="20"/>
        <v>108</v>
      </c>
      <c r="B193" s="138"/>
      <c r="C193" s="140" t="s">
        <v>146</v>
      </c>
      <c r="D193" s="2"/>
      <c r="E193" s="140"/>
      <c r="F193" s="140" t="s">
        <v>122</v>
      </c>
      <c r="G193" s="140"/>
      <c r="H193" s="140">
        <f>'Att 14 - Cost of Capital Detail'!C25</f>
        <v>0</v>
      </c>
      <c r="J193" s="141">
        <v>0</v>
      </c>
      <c r="K193" s="41">
        <f t="shared" si="16"/>
        <v>0</v>
      </c>
      <c r="L193" s="44" t="str">
        <f t="shared" si="17"/>
        <v>n/m</v>
      </c>
      <c r="M193" s="2"/>
      <c r="N193" s="141">
        <v>0</v>
      </c>
      <c r="O193" s="41">
        <f t="shared" si="18"/>
        <v>0</v>
      </c>
      <c r="P193" s="44" t="str">
        <f t="shared" si="19"/>
        <v>n/m</v>
      </c>
      <c r="Q193" s="24"/>
      <c r="R193" s="33"/>
    </row>
    <row r="194" spans="1:18" ht="18.75">
      <c r="A194" s="136">
        <f t="shared" si="20"/>
        <v>109</v>
      </c>
      <c r="B194" s="138"/>
      <c r="C194" s="140" t="s">
        <v>147</v>
      </c>
      <c r="D194" s="2"/>
      <c r="E194" s="140"/>
      <c r="F194" s="140" t="s">
        <v>122</v>
      </c>
      <c r="G194" s="140"/>
      <c r="H194" s="140">
        <f>'Att 14 - Cost of Capital Detail'!C26</f>
        <v>0</v>
      </c>
      <c r="J194" s="141">
        <v>0</v>
      </c>
      <c r="K194" s="41">
        <f t="shared" si="16"/>
        <v>0</v>
      </c>
      <c r="L194" s="44" t="str">
        <f t="shared" si="17"/>
        <v>n/m</v>
      </c>
      <c r="M194" s="2"/>
      <c r="N194" s="141">
        <v>0</v>
      </c>
      <c r="O194" s="41">
        <f t="shared" si="18"/>
        <v>0</v>
      </c>
      <c r="P194" s="44" t="str">
        <f t="shared" si="19"/>
        <v>n/m</v>
      </c>
      <c r="Q194" s="24"/>
      <c r="R194" s="33"/>
    </row>
    <row r="195" spans="1:18" ht="18.75">
      <c r="A195" s="136">
        <f t="shared" si="20"/>
        <v>110</v>
      </c>
      <c r="B195" s="138"/>
      <c r="C195" s="143" t="s">
        <v>148</v>
      </c>
      <c r="D195" s="47"/>
      <c r="E195" s="47"/>
      <c r="F195" s="144" t="str">
        <f>"Sum Lines "&amp;A189&amp;" through "&amp;A194</f>
        <v>Sum Lines 104 through 109</v>
      </c>
      <c r="G195" s="144"/>
      <c r="H195" s="145">
        <f>+H189-H190+H191+H192-H193-H194</f>
        <v>2397600</v>
      </c>
      <c r="J195" s="1718">
        <v>2397600</v>
      </c>
      <c r="K195" s="51">
        <f t="shared" si="16"/>
        <v>0</v>
      </c>
      <c r="L195" s="52">
        <f t="shared" si="17"/>
        <v>0</v>
      </c>
      <c r="M195" s="2"/>
      <c r="N195" s="145">
        <v>2397600</v>
      </c>
      <c r="O195" s="51">
        <f t="shared" si="18"/>
        <v>0</v>
      </c>
      <c r="P195" s="52">
        <f t="shared" si="19"/>
        <v>0</v>
      </c>
      <c r="Q195" s="24"/>
      <c r="R195" s="33"/>
    </row>
    <row r="196" spans="1:18" ht="15.75">
      <c r="H196" s="148"/>
      <c r="J196" s="148"/>
      <c r="K196" s="148"/>
      <c r="L196" s="148"/>
      <c r="N196" s="148"/>
      <c r="O196" s="148"/>
      <c r="P196" s="148"/>
      <c r="Q196" s="24"/>
      <c r="R196" s="33"/>
    </row>
    <row r="197" spans="1:18" ht="18.75">
      <c r="A197" s="136">
        <f>+A195+1</f>
        <v>111</v>
      </c>
      <c r="B197" s="138"/>
      <c r="C197" s="143" t="s">
        <v>149</v>
      </c>
      <c r="D197" s="47"/>
      <c r="E197" s="144"/>
      <c r="F197" s="144" t="s">
        <v>122</v>
      </c>
      <c r="G197" s="149" t="s">
        <v>150</v>
      </c>
      <c r="H197" s="145">
        <f>'Att 14 - Cost of Capital Detail'!C27</f>
        <v>161901.96</v>
      </c>
      <c r="J197" s="1719">
        <v>161901.96</v>
      </c>
      <c r="K197" s="51">
        <f>$H197-J197</f>
        <v>0</v>
      </c>
      <c r="L197" s="52">
        <f>IF(J197=0,"n/m",K197/ABS(J197))</f>
        <v>0</v>
      </c>
      <c r="M197" s="2"/>
      <c r="N197" s="150">
        <v>161901.96</v>
      </c>
      <c r="O197" s="51">
        <f>$H197-N197</f>
        <v>0</v>
      </c>
      <c r="P197" s="52">
        <f>IF(N197=0,"n/m",O197/ABS(N197))</f>
        <v>0</v>
      </c>
      <c r="Q197" s="24"/>
      <c r="R197" s="33"/>
    </row>
    <row r="198" spans="1:18" ht="18.75">
      <c r="A198" s="147"/>
      <c r="B198" s="138"/>
      <c r="C198" s="140"/>
      <c r="D198" s="2"/>
      <c r="E198" s="140"/>
      <c r="F198" s="140"/>
      <c r="G198" s="140"/>
      <c r="H198" s="140"/>
      <c r="J198" s="140"/>
      <c r="K198" s="140"/>
      <c r="L198" s="140"/>
      <c r="M198" s="2"/>
      <c r="N198" s="140"/>
      <c r="O198" s="140"/>
      <c r="P198" s="140"/>
      <c r="Q198" s="24"/>
      <c r="R198" s="33"/>
    </row>
    <row r="199" spans="1:18" ht="18.75">
      <c r="A199" s="136"/>
      <c r="B199" s="137" t="s">
        <v>151</v>
      </c>
      <c r="C199" s="2"/>
      <c r="D199" s="2"/>
      <c r="E199" s="138"/>
      <c r="F199" s="140"/>
      <c r="G199" s="140"/>
      <c r="H199" s="140"/>
      <c r="J199" s="140"/>
      <c r="K199" s="140"/>
      <c r="L199" s="140"/>
      <c r="M199" s="2"/>
      <c r="N199" s="140"/>
      <c r="O199" s="140"/>
      <c r="P199" s="140"/>
      <c r="Q199" s="24"/>
      <c r="R199" s="33"/>
    </row>
    <row r="200" spans="1:18" ht="18.75">
      <c r="A200" s="136">
        <f>+A197+1</f>
        <v>112</v>
      </c>
      <c r="B200" s="138"/>
      <c r="C200" s="140" t="s">
        <v>152</v>
      </c>
      <c r="D200" s="2"/>
      <c r="E200" s="140"/>
      <c r="F200" s="140" t="s">
        <v>122</v>
      </c>
      <c r="G200" s="140"/>
      <c r="H200" s="151">
        <f>'Att 14 - Cost of Capital Detail'!$C$28</f>
        <v>10190129260.886156</v>
      </c>
      <c r="J200" s="141">
        <v>10213677221.911539</v>
      </c>
      <c r="K200" s="41">
        <f>$H200-J200</f>
        <v>-23547961.025382996</v>
      </c>
      <c r="L200" s="44">
        <f>IF(J200=0,"n/m",K200/ABS(J200))</f>
        <v>-2.3055321324297619E-3</v>
      </c>
      <c r="M200" s="2"/>
      <c r="N200" s="141">
        <v>10301551337.917692</v>
      </c>
      <c r="O200" s="41">
        <f>$H200-N200</f>
        <v>-111422077.0315361</v>
      </c>
      <c r="P200" s="44">
        <f>IF(N200=0,"n/m",O200/ABS(N200))</f>
        <v>-1.0816048318996045E-2</v>
      </c>
      <c r="Q200" s="24"/>
      <c r="R200" s="33"/>
    </row>
    <row r="201" spans="1:18" ht="18.75">
      <c r="A201" s="136">
        <f t="shared" si="20"/>
        <v>113</v>
      </c>
      <c r="B201" s="138"/>
      <c r="C201" s="140" t="s">
        <v>153</v>
      </c>
      <c r="D201" s="2"/>
      <c r="E201" s="2"/>
      <c r="F201" s="2" t="str">
        <f>"(Line "&amp;A195&amp;")"</f>
        <v>(Line 110)</v>
      </c>
      <c r="G201" s="140"/>
      <c r="H201" s="140">
        <f>H195</f>
        <v>2397600</v>
      </c>
      <c r="J201" s="140">
        <v>2397600</v>
      </c>
      <c r="K201" s="41">
        <f>$H201-J201</f>
        <v>0</v>
      </c>
      <c r="L201" s="44">
        <f>IF(J201=0,"n/m",K201/ABS(J201))</f>
        <v>0</v>
      </c>
      <c r="M201" s="2"/>
      <c r="N201" s="140">
        <v>2397600</v>
      </c>
      <c r="O201" s="41">
        <f>$H201-N201</f>
        <v>0</v>
      </c>
      <c r="P201" s="44">
        <f>IF(N201=0,"n/m",O201/ABS(N201))</f>
        <v>0</v>
      </c>
      <c r="Q201" s="24"/>
      <c r="R201" s="33"/>
    </row>
    <row r="202" spans="1:18" ht="18.75">
      <c r="A202" s="136">
        <f t="shared" si="20"/>
        <v>114</v>
      </c>
      <c r="B202" s="138"/>
      <c r="C202" s="140" t="s">
        <v>154</v>
      </c>
      <c r="D202" s="2"/>
      <c r="E202" s="2"/>
      <c r="F202" s="140" t="s">
        <v>122</v>
      </c>
      <c r="G202" s="140"/>
      <c r="H202" s="140">
        <f>'Att 14 - Cost of Capital Detail'!C29</f>
        <v>95931556.763846159</v>
      </c>
      <c r="J202" s="141">
        <v>72292123.491538465</v>
      </c>
      <c r="K202" s="41">
        <f>$H202-J202</f>
        <v>23639433.272307694</v>
      </c>
      <c r="L202" s="44">
        <f>IF(J202=0,"n/m",K202/ABS(J202))</f>
        <v>0.32699873970467341</v>
      </c>
      <c r="M202" s="2"/>
      <c r="N202" s="141">
        <v>82824113.754615396</v>
      </c>
      <c r="O202" s="41">
        <f>$H202-N202</f>
        <v>13107443.009230763</v>
      </c>
      <c r="P202" s="44">
        <f>IF(N202=0,"n/m",O202/ABS(N202))</f>
        <v>0.15825636297255696</v>
      </c>
      <c r="Q202" s="24"/>
      <c r="R202" s="33"/>
    </row>
    <row r="203" spans="1:18" ht="18.75">
      <c r="A203" s="136">
        <f t="shared" si="20"/>
        <v>115</v>
      </c>
      <c r="B203" s="138"/>
      <c r="C203" s="140" t="s">
        <v>155</v>
      </c>
      <c r="D203" s="2"/>
      <c r="E203" s="2"/>
      <c r="F203" s="140" t="s">
        <v>122</v>
      </c>
      <c r="G203" s="152"/>
      <c r="H203" s="140">
        <f>'Att 14 - Cost of Capital Detail'!C30</f>
        <v>-10032116.23153846</v>
      </c>
      <c r="J203" s="141">
        <v>-16125815.846153844</v>
      </c>
      <c r="K203" s="41">
        <f>$H203-J203</f>
        <v>6093699.6146153845</v>
      </c>
      <c r="L203" s="44">
        <f>IF(J203=0,"n/m",K203/ABS(J203))</f>
        <v>0.37788473294942088</v>
      </c>
      <c r="M203" s="2"/>
      <c r="N203" s="141">
        <v>-9228080.8838461526</v>
      </c>
      <c r="O203" s="41">
        <f>$H203-N203</f>
        <v>-804035.34769230708</v>
      </c>
      <c r="P203" s="44">
        <f>IF(N203=0,"n/m",O203/ABS(N203))</f>
        <v>-8.712920463232815E-2</v>
      </c>
      <c r="Q203" s="24"/>
      <c r="R203" s="33"/>
    </row>
    <row r="204" spans="1:18" ht="18.75">
      <c r="A204" s="136">
        <f>A203+1</f>
        <v>116</v>
      </c>
      <c r="B204" s="138"/>
      <c r="C204" s="143" t="s">
        <v>156</v>
      </c>
      <c r="D204" s="47"/>
      <c r="E204" s="47"/>
      <c r="F204" s="144" t="str">
        <f>"Sum Lines "&amp;A200&amp;" through "&amp;A203</f>
        <v>Sum Lines 112 through 115</v>
      </c>
      <c r="G204" s="144"/>
      <c r="H204" s="145">
        <f>H200-H201-H202-H203</f>
        <v>10101832220.353849</v>
      </c>
      <c r="J204" s="1718">
        <v>10155113314.266153</v>
      </c>
      <c r="K204" s="51">
        <f>$H204-J204</f>
        <v>-53281093.912303925</v>
      </c>
      <c r="L204" s="52">
        <f>IF(J204=0,"n/m",K204/ABS(J204))</f>
        <v>-5.2467256901460009E-3</v>
      </c>
      <c r="M204" s="2"/>
      <c r="N204" s="145">
        <v>10225557705.046923</v>
      </c>
      <c r="O204" s="51">
        <f>$H204-N204</f>
        <v>-123725484.69307327</v>
      </c>
      <c r="P204" s="52">
        <f>IF(N204=0,"n/m",O204/ABS(N204))</f>
        <v>-1.2099631947899269E-2</v>
      </c>
      <c r="Q204" s="24"/>
      <c r="R204" s="33"/>
    </row>
    <row r="205" spans="1:18" ht="16.5" thickBot="1">
      <c r="A205" s="39"/>
      <c r="B205" s="153"/>
      <c r="C205" s="153"/>
      <c r="D205" s="154"/>
      <c r="E205" s="155"/>
      <c r="F205" s="156"/>
      <c r="G205" s="156"/>
      <c r="H205" s="157"/>
      <c r="J205" s="157"/>
      <c r="K205" s="158"/>
      <c r="L205" s="158"/>
      <c r="M205" s="2"/>
      <c r="N205" s="157"/>
      <c r="O205" s="158"/>
      <c r="P205" s="158"/>
      <c r="Q205" s="24"/>
      <c r="R205" s="33"/>
    </row>
    <row r="206" spans="1:18" ht="15.75">
      <c r="A206" s="39"/>
      <c r="B206" s="39"/>
      <c r="C206" s="2"/>
      <c r="D206" s="2"/>
      <c r="E206" s="39"/>
      <c r="F206" s="2"/>
      <c r="G206" s="38"/>
      <c r="H206" s="37"/>
      <c r="J206" s="37"/>
      <c r="K206" s="37"/>
      <c r="L206" s="37"/>
      <c r="M206" s="2"/>
      <c r="N206" s="37"/>
      <c r="O206" s="37"/>
      <c r="P206" s="37"/>
      <c r="Q206" s="24"/>
      <c r="R206" s="33"/>
    </row>
    <row r="207" spans="1:18" ht="15.75">
      <c r="A207" s="39">
        <f>+A204+1</f>
        <v>117</v>
      </c>
      <c r="B207" s="39"/>
      <c r="C207" s="34" t="s">
        <v>157</v>
      </c>
      <c r="D207" s="2" t="s">
        <v>158</v>
      </c>
      <c r="E207" s="61" t="str">
        <f>"(Notes "&amp;B327&amp;" &amp; "&amp;B328&amp;")"</f>
        <v>(Notes Q &amp; R)</v>
      </c>
      <c r="F207" s="38" t="str">
        <f>"(Line "&amp;A170&amp;" / (Lines "&amp;A$170&amp;" + "&amp;A$195&amp;" +"&amp;A$204&amp;"))"</f>
        <v>(Line 90 / (Lines 90 + 110 +116))</v>
      </c>
      <c r="G207" s="38"/>
      <c r="H207" s="159">
        <f>+H170/(H170+H195+H204)</f>
        <v>0.57518896126794206</v>
      </c>
      <c r="J207" s="159">
        <v>0.46987374386710834</v>
      </c>
      <c r="K207" s="160">
        <f>$H207-J207</f>
        <v>0.10531521740083372</v>
      </c>
      <c r="L207" s="159"/>
      <c r="M207" s="2"/>
      <c r="N207" s="159">
        <v>0.50083254574469438</v>
      </c>
      <c r="O207" s="160">
        <f>$H207-N207</f>
        <v>7.4356415523247676E-2</v>
      </c>
      <c r="P207" s="159"/>
      <c r="Q207" s="24"/>
      <c r="R207" s="33"/>
    </row>
    <row r="208" spans="1:18" ht="15.75">
      <c r="A208" s="39">
        <f>+A207+1</f>
        <v>118</v>
      </c>
      <c r="B208" s="39"/>
      <c r="C208" s="34" t="s">
        <v>159</v>
      </c>
      <c r="D208" s="2" t="s">
        <v>160</v>
      </c>
      <c r="E208" s="61"/>
      <c r="F208" s="38" t="str">
        <f>"(Line "&amp;A195&amp;" / (Lines "&amp;A$170&amp;" + "&amp;A$195&amp;" +"&amp;A$204&amp;"))"</f>
        <v>(Line 110 / (Lines 90 + 110 +116))</v>
      </c>
      <c r="G208" s="38"/>
      <c r="H208" s="159">
        <f>H195/(H170+H195+H204)</f>
        <v>1.0080203682741583E-4</v>
      </c>
      <c r="J208" s="159">
        <v>1.2625613289165796E-4</v>
      </c>
      <c r="K208" s="160">
        <f>$H208-J208</f>
        <v>-2.5454096064242123E-5</v>
      </c>
      <c r="L208" s="159"/>
      <c r="M208" s="2"/>
      <c r="N208" s="159">
        <v>1.170130150776045E-4</v>
      </c>
      <c r="O208" s="160">
        <f>$H208-N208</f>
        <v>-1.6210978250188668E-5</v>
      </c>
      <c r="P208" s="159"/>
      <c r="Q208" s="24"/>
      <c r="R208" s="33"/>
    </row>
    <row r="209" spans="1:18" ht="15.75">
      <c r="A209" s="39">
        <f>+A208+1</f>
        <v>119</v>
      </c>
      <c r="B209" s="39"/>
      <c r="C209" s="34" t="s">
        <v>161</v>
      </c>
      <c r="D209" s="2" t="s">
        <v>151</v>
      </c>
      <c r="E209" s="61" t="str">
        <f>+E207</f>
        <v>(Notes Q &amp; R)</v>
      </c>
      <c r="F209" s="38" t="str">
        <f>"(Line "&amp;A204&amp;" / (Lines "&amp;A$170&amp;" + "&amp;A$195&amp;" +"&amp;A$204&amp;"))"</f>
        <v>(Line 116 / (Lines 90 + 110 +116))</v>
      </c>
      <c r="G209" s="38"/>
      <c r="H209" s="159">
        <f>H204/(H170+H195+H204)</f>
        <v>0.4247102366952305</v>
      </c>
      <c r="J209" s="159">
        <v>0.53</v>
      </c>
      <c r="K209" s="160">
        <f>$H209-J209</f>
        <v>-0.10528976330476952</v>
      </c>
      <c r="L209" s="159"/>
      <c r="M209" s="2"/>
      <c r="N209" s="159">
        <v>0.4990504412402279</v>
      </c>
      <c r="O209" s="160">
        <f>$H209-N209</f>
        <v>-7.4340204544997401E-2</v>
      </c>
      <c r="P209" s="159"/>
      <c r="Q209" s="24"/>
      <c r="R209" s="33"/>
    </row>
    <row r="210" spans="1:18" ht="15.75">
      <c r="A210" s="39"/>
      <c r="B210" s="39"/>
      <c r="C210" s="161"/>
      <c r="D210" s="71"/>
      <c r="E210" s="80"/>
      <c r="F210" s="63"/>
      <c r="G210" s="63"/>
      <c r="H210" s="162"/>
      <c r="J210" s="162"/>
      <c r="K210" s="163"/>
      <c r="L210" s="163"/>
      <c r="M210" s="2"/>
      <c r="N210" s="162"/>
      <c r="O210" s="163"/>
      <c r="P210" s="163"/>
      <c r="Q210" s="24"/>
      <c r="R210" s="33"/>
    </row>
    <row r="211" spans="1:18" ht="15.75">
      <c r="A211" s="39"/>
      <c r="B211" s="39"/>
      <c r="C211" s="164"/>
      <c r="D211" s="2"/>
      <c r="E211" s="39"/>
      <c r="F211" s="38"/>
      <c r="G211" s="38"/>
      <c r="H211" s="163"/>
      <c r="J211" s="163"/>
      <c r="K211" s="163"/>
      <c r="L211" s="163"/>
      <c r="M211" s="2"/>
      <c r="N211" s="163"/>
      <c r="O211" s="163"/>
      <c r="P211" s="163"/>
      <c r="Q211" s="24"/>
      <c r="R211" s="33"/>
    </row>
    <row r="212" spans="1:18" ht="60.75">
      <c r="A212" s="39">
        <f>+A209+1</f>
        <v>120</v>
      </c>
      <c r="B212" s="39"/>
      <c r="C212" s="164" t="s">
        <v>162</v>
      </c>
      <c r="D212" s="165" t="s">
        <v>163</v>
      </c>
      <c r="E212" s="39"/>
      <c r="F212" s="38" t="str">
        <f>"(Line "&amp;A186&amp;" / Line "&amp;A177&amp;")"</f>
        <v>(Line 103 / Line 96)</v>
      </c>
      <c r="G212" s="38"/>
      <c r="H212" s="166">
        <f>H186/H177</f>
        <v>5.1934654244976772E-2</v>
      </c>
      <c r="J212" s="166">
        <v>4.6695898137809617E-2</v>
      </c>
      <c r="K212" s="160">
        <f>$H212-J212</f>
        <v>5.2387561071671543E-3</v>
      </c>
      <c r="L212" s="166"/>
      <c r="M212" s="2"/>
      <c r="N212" s="166">
        <v>4.8340526270825829E-2</v>
      </c>
      <c r="O212" s="160">
        <f>$H212-N212</f>
        <v>3.594127974150943E-3</v>
      </c>
      <c r="P212" s="166"/>
      <c r="Q212" s="24"/>
      <c r="R212" s="33"/>
    </row>
    <row r="213" spans="1:18" ht="45.75">
      <c r="A213" s="39">
        <f>+A212+1</f>
        <v>121</v>
      </c>
      <c r="B213" s="39"/>
      <c r="C213" s="164" t="s">
        <v>164</v>
      </c>
      <c r="D213" s="165" t="s">
        <v>165</v>
      </c>
      <c r="E213" s="39"/>
      <c r="F213" s="38" t="str">
        <f>"(Line "&amp;A197&amp;" / Line "&amp;A195&amp;")"</f>
        <v>(Line 111 / Line 110)</v>
      </c>
      <c r="G213" s="38"/>
      <c r="H213" s="166">
        <f>H197/H195</f>
        <v>6.7526676676676667E-2</v>
      </c>
      <c r="J213" s="166">
        <v>6.7526676676676667E-2</v>
      </c>
      <c r="K213" s="160">
        <f>$H213-J213</f>
        <v>0</v>
      </c>
      <c r="L213" s="166"/>
      <c r="M213" s="2"/>
      <c r="N213" s="166">
        <v>6.7526676676676667E-2</v>
      </c>
      <c r="O213" s="160">
        <f>$H213-N213</f>
        <v>0</v>
      </c>
      <c r="P213" s="166"/>
      <c r="Q213" s="24"/>
      <c r="R213" s="33"/>
    </row>
    <row r="214" spans="1:18" ht="15.75">
      <c r="A214" s="39">
        <f>+A213+1</f>
        <v>122</v>
      </c>
      <c r="B214" s="39"/>
      <c r="C214" s="164" t="s">
        <v>166</v>
      </c>
      <c r="D214" s="2" t="s">
        <v>151</v>
      </c>
      <c r="E214" s="61" t="str">
        <f>"(Note "&amp;B313&amp;")"</f>
        <v>(Note H)</v>
      </c>
      <c r="F214" s="38" t="s">
        <v>167</v>
      </c>
      <c r="G214" s="38"/>
      <c r="H214" s="167">
        <f>Inputs!$E$7</f>
        <v>9.8000000000000004E-2</v>
      </c>
      <c r="J214" s="167">
        <v>9.8000000000000004E-2</v>
      </c>
      <c r="K214" s="168"/>
      <c r="L214" s="168"/>
      <c r="M214" s="2"/>
      <c r="N214" s="167">
        <v>9.8000000000000004E-2</v>
      </c>
      <c r="O214" s="168"/>
      <c r="P214" s="168"/>
      <c r="Q214" s="24"/>
      <c r="R214" s="33"/>
    </row>
    <row r="215" spans="1:18" ht="15.75">
      <c r="A215" s="39"/>
      <c r="B215" s="39"/>
      <c r="C215" s="161"/>
      <c r="D215" s="71"/>
      <c r="E215" s="72"/>
      <c r="F215" s="63"/>
      <c r="G215" s="63"/>
      <c r="H215" s="169"/>
      <c r="J215" s="169"/>
      <c r="K215" s="170"/>
      <c r="L215" s="170"/>
      <c r="M215" s="2"/>
      <c r="N215" s="169"/>
      <c r="O215" s="170"/>
      <c r="P215" s="170"/>
      <c r="Q215" s="24"/>
      <c r="R215" s="33"/>
    </row>
    <row r="216" spans="1:18" ht="15.75">
      <c r="A216" s="39"/>
      <c r="B216" s="39"/>
      <c r="C216" s="164"/>
      <c r="D216" s="2"/>
      <c r="E216" s="39"/>
      <c r="F216" s="38"/>
      <c r="G216" s="38"/>
      <c r="H216" s="159"/>
      <c r="J216" s="159"/>
      <c r="K216" s="159"/>
      <c r="L216" s="159"/>
      <c r="M216" s="2"/>
      <c r="N216" s="159"/>
      <c r="O216" s="159"/>
      <c r="P216" s="159"/>
      <c r="Q216" s="24"/>
      <c r="R216" s="33"/>
    </row>
    <row r="217" spans="1:18" ht="15.75">
      <c r="A217" s="39">
        <f>+A214+1</f>
        <v>123</v>
      </c>
      <c r="B217" s="39"/>
      <c r="C217" s="34" t="s">
        <v>168</v>
      </c>
      <c r="D217" s="2" t="s">
        <v>169</v>
      </c>
      <c r="E217" s="39"/>
      <c r="F217" s="38" t="str">
        <f>"(Line "&amp;A207&amp;" * Line "&amp;A212&amp;")"</f>
        <v>(Line 117 * Line 120)</v>
      </c>
      <c r="G217" s="171"/>
      <c r="H217" s="166">
        <f>H207*H212</f>
        <v>2.9872239828977906E-2</v>
      </c>
      <c r="J217" s="166">
        <v>2.1941176481249738E-2</v>
      </c>
      <c r="K217" s="166"/>
      <c r="L217" s="166"/>
      <c r="M217" s="2"/>
      <c r="N217" s="166">
        <v>2.4210508834855978E-2</v>
      </c>
      <c r="O217" s="166"/>
      <c r="P217" s="166"/>
      <c r="Q217" s="24"/>
      <c r="R217" s="33"/>
    </row>
    <row r="218" spans="1:18" ht="15.75">
      <c r="A218" s="39">
        <f>+A217+1</f>
        <v>124</v>
      </c>
      <c r="B218" s="39"/>
      <c r="C218" s="34" t="s">
        <v>170</v>
      </c>
      <c r="D218" s="2" t="s">
        <v>160</v>
      </c>
      <c r="E218" s="39"/>
      <c r="F218" s="38" t="str">
        <f>"(Line "&amp;A208&amp;" * Line "&amp;A213&amp;")"</f>
        <v>(Line 118 * Line 121)</v>
      </c>
      <c r="G218" s="98"/>
      <c r="H218" s="166">
        <f>H208*H213</f>
        <v>6.8068265491953633E-6</v>
      </c>
      <c r="J218" s="166">
        <v>8.5256570642225084E-6</v>
      </c>
      <c r="K218" s="166"/>
      <c r="L218" s="166"/>
      <c r="M218" s="2"/>
      <c r="N218" s="166">
        <v>7.9015000361084916E-6</v>
      </c>
      <c r="O218" s="166"/>
      <c r="P218" s="166"/>
      <c r="Q218" s="24"/>
      <c r="R218" s="33"/>
    </row>
    <row r="219" spans="1:18" ht="15.75">
      <c r="A219" s="39">
        <f>+A218+1</f>
        <v>125</v>
      </c>
      <c r="B219" s="39"/>
      <c r="C219" s="73" t="s">
        <v>171</v>
      </c>
      <c r="D219" s="71" t="s">
        <v>151</v>
      </c>
      <c r="E219" s="80"/>
      <c r="F219" s="63" t="str">
        <f>"(Line "&amp;A209&amp;" * Line "&amp;A214&amp;")"</f>
        <v>(Line 119 * Line 122)</v>
      </c>
      <c r="G219" s="172"/>
      <c r="H219" s="169">
        <f>H209*H214</f>
        <v>4.1621603196132589E-2</v>
      </c>
      <c r="J219" s="166">
        <v>5.1940000000000007E-2</v>
      </c>
      <c r="K219" s="170"/>
      <c r="L219" s="170"/>
      <c r="M219" s="2"/>
      <c r="N219" s="169">
        <v>4.8906943241542336E-2</v>
      </c>
      <c r="O219" s="170"/>
      <c r="P219" s="170"/>
      <c r="Q219" s="24"/>
      <c r="R219" s="33"/>
    </row>
    <row r="220" spans="1:18" ht="15.75">
      <c r="A220" s="39">
        <f>+A219+1</f>
        <v>126</v>
      </c>
      <c r="B220" s="39"/>
      <c r="C220" s="173" t="s">
        <v>172</v>
      </c>
      <c r="D220" s="17"/>
      <c r="E220" s="35"/>
      <c r="F220" s="38" t="str">
        <f>"(Sum Lines "&amp;A217&amp;" to "&amp;A219&amp;")"</f>
        <v>(Sum Lines 123 to 125)</v>
      </c>
      <c r="G220" s="174"/>
      <c r="H220" s="175">
        <f>SUM(H217:H219)</f>
        <v>7.1500649851659687E-2</v>
      </c>
      <c r="J220" s="176">
        <v>7.3889702138313973E-2</v>
      </c>
      <c r="K220" s="177">
        <f>$H220-J220</f>
        <v>-2.3890522866542863E-3</v>
      </c>
      <c r="L220" s="176"/>
      <c r="M220" s="2"/>
      <c r="N220" s="176">
        <v>7.3125353576434418E-2</v>
      </c>
      <c r="O220" s="177">
        <f>$H220-N220</f>
        <v>-1.6247037247747315E-3</v>
      </c>
      <c r="P220" s="176"/>
      <c r="Q220" s="24"/>
      <c r="R220" s="33"/>
    </row>
    <row r="221" spans="1:18" ht="15.75">
      <c r="A221" s="35"/>
      <c r="B221" s="35"/>
      <c r="C221" s="17"/>
      <c r="D221" s="17"/>
      <c r="E221" s="35"/>
      <c r="F221" s="158"/>
      <c r="G221" s="174"/>
      <c r="H221" s="178"/>
      <c r="J221" s="178"/>
      <c r="K221" s="178"/>
      <c r="L221" s="178"/>
      <c r="M221" s="2"/>
      <c r="N221" s="178"/>
      <c r="O221" s="178"/>
      <c r="P221" s="178"/>
      <c r="Q221" s="24"/>
      <c r="R221" s="33"/>
    </row>
    <row r="222" spans="1:18" ht="16.5" thickBot="1">
      <c r="A222" s="39">
        <f>+A220+1</f>
        <v>127</v>
      </c>
      <c r="B222" s="179" t="s">
        <v>173</v>
      </c>
      <c r="C222" s="54"/>
      <c r="D222" s="53"/>
      <c r="E222" s="180"/>
      <c r="F222" s="56" t="str">
        <f>"(Line "&amp;A107&amp;" * Line "&amp;A220&amp;")"</f>
        <v>(Line 52 * Line 126)</v>
      </c>
      <c r="G222" s="181"/>
      <c r="H222" s="86">
        <f>H107*H220</f>
        <v>548901623.97388685</v>
      </c>
      <c r="J222" s="1713">
        <v>357706448.01805377</v>
      </c>
      <c r="K222" s="87">
        <f>$H222-J222</f>
        <v>191195175.95583308</v>
      </c>
      <c r="L222" s="59">
        <f>IF(J222=0,"n/m",K222/ABS(J222))</f>
        <v>0.53450301781024445</v>
      </c>
      <c r="M222" s="2"/>
      <c r="N222" s="86">
        <v>397390505.95793211</v>
      </c>
      <c r="O222" s="87">
        <f>$H222-N222</f>
        <v>151511118.01595473</v>
      </c>
      <c r="P222" s="59">
        <f>IF(N222=0,"n/m",O222/ABS(N222))</f>
        <v>0.38126506734409438</v>
      </c>
      <c r="Q222" s="182"/>
      <c r="R222" s="33"/>
    </row>
    <row r="223" spans="1:18" ht="16.5" thickTop="1">
      <c r="A223" s="39"/>
      <c r="B223" s="39"/>
      <c r="C223" s="2"/>
      <c r="D223" s="2"/>
      <c r="E223" s="39"/>
      <c r="F223" s="38"/>
      <c r="G223" s="38"/>
      <c r="H223" s="183"/>
      <c r="J223" s="183"/>
      <c r="K223" s="183"/>
      <c r="L223" s="183"/>
      <c r="M223" s="2"/>
      <c r="N223" s="183"/>
      <c r="O223" s="183"/>
      <c r="P223" s="183"/>
      <c r="Q223" s="182"/>
      <c r="R223" s="33"/>
    </row>
    <row r="224" spans="1:18" ht="15.75">
      <c r="A224" s="27" t="s">
        <v>174</v>
      </c>
      <c r="B224" s="28"/>
      <c r="C224" s="122"/>
      <c r="D224" s="29"/>
      <c r="E224" s="133"/>
      <c r="F224" s="29"/>
      <c r="G224" s="29"/>
      <c r="H224" s="68"/>
      <c r="J224" s="68">
        <v>0</v>
      </c>
      <c r="K224" s="68"/>
      <c r="L224" s="68"/>
      <c r="M224" s="2"/>
      <c r="N224" s="68">
        <v>0</v>
      </c>
      <c r="O224" s="68"/>
      <c r="P224" s="68"/>
      <c r="Q224" s="24"/>
      <c r="R224" s="33"/>
    </row>
    <row r="225" spans="1:18" ht="15.75">
      <c r="A225" s="34"/>
      <c r="B225" s="39"/>
      <c r="C225" s="17"/>
      <c r="D225" s="2"/>
      <c r="E225" s="37"/>
      <c r="F225" s="2"/>
      <c r="G225" s="2"/>
      <c r="H225" s="175"/>
      <c r="J225" s="175"/>
      <c r="K225" s="175"/>
      <c r="L225" s="175"/>
      <c r="M225" s="2"/>
      <c r="N225" s="175"/>
      <c r="O225" s="175"/>
      <c r="P225" s="175"/>
      <c r="Q225" s="24"/>
      <c r="R225" s="33"/>
    </row>
    <row r="226" spans="1:18" ht="15.75">
      <c r="A226" s="39" t="s">
        <v>175</v>
      </c>
      <c r="B226" s="184" t="s">
        <v>176</v>
      </c>
      <c r="C226" s="2"/>
      <c r="D226" s="2"/>
      <c r="E226" s="37"/>
      <c r="F226" s="38"/>
      <c r="G226" s="185"/>
      <c r="H226" s="2"/>
      <c r="J226" s="2"/>
      <c r="K226" s="2"/>
      <c r="L226" s="2"/>
      <c r="M226" s="2"/>
      <c r="N226" s="2"/>
      <c r="O226" s="2"/>
      <c r="P226" s="2"/>
      <c r="Q226" s="24"/>
      <c r="R226" s="33"/>
    </row>
    <row r="227" spans="1:18" ht="15.75">
      <c r="A227" s="39">
        <f>+A222+1</f>
        <v>128</v>
      </c>
      <c r="B227" s="39"/>
      <c r="C227" s="2" t="s">
        <v>177</v>
      </c>
      <c r="D227" s="2"/>
      <c r="E227" s="61" t="str">
        <f>"(Note "&amp;B$309&amp;")"</f>
        <v>(Note G)</v>
      </c>
      <c r="F227" s="2"/>
      <c r="G227" s="2"/>
      <c r="H227" s="186">
        <f>Inputs!E91</f>
        <v>0.21</v>
      </c>
      <c r="J227" s="187">
        <v>0.21</v>
      </c>
      <c r="K227" s="160">
        <f>$H227-J227</f>
        <v>0</v>
      </c>
      <c r="L227" s="166"/>
      <c r="M227" s="2"/>
      <c r="N227" s="187">
        <v>0.21</v>
      </c>
      <c r="O227" s="160">
        <f>$H227-N227</f>
        <v>0</v>
      </c>
      <c r="P227" s="166"/>
      <c r="Q227" s="24"/>
      <c r="R227" s="33"/>
    </row>
    <row r="228" spans="1:18" ht="15.75">
      <c r="A228" s="39">
        <f>+A227+1</f>
        <v>129</v>
      </c>
      <c r="B228" s="39"/>
      <c r="C228" s="2" t="s">
        <v>178</v>
      </c>
      <c r="D228" s="188"/>
      <c r="E228" s="61" t="str">
        <f>"(Note "&amp;B$309&amp;")"</f>
        <v>(Note G)</v>
      </c>
      <c r="F228" s="2" t="s">
        <v>25</v>
      </c>
      <c r="G228" s="2"/>
      <c r="H228" s="166">
        <f>'Att 5 - Cost Support'!H260</f>
        <v>4.5400000000000003E-2</v>
      </c>
      <c r="J228" s="187">
        <v>4.5400000000000003E-2</v>
      </c>
      <c r="K228" s="160">
        <f>$H228-J228</f>
        <v>0</v>
      </c>
      <c r="L228" s="166"/>
      <c r="M228" s="2"/>
      <c r="N228" s="187">
        <v>4.5400000000000003E-2</v>
      </c>
      <c r="O228" s="160">
        <f>$H228-N228</f>
        <v>0</v>
      </c>
      <c r="P228" s="166"/>
      <c r="Q228" s="24"/>
      <c r="R228" s="33"/>
    </row>
    <row r="229" spans="1:18" ht="15.75">
      <c r="A229" s="39">
        <f>+A228+1</f>
        <v>130</v>
      </c>
      <c r="B229" s="39"/>
      <c r="C229" s="2" t="s">
        <v>179</v>
      </c>
      <c r="D229" s="2" t="s">
        <v>180</v>
      </c>
      <c r="E229" s="39"/>
      <c r="F229" s="2" t="s">
        <v>181</v>
      </c>
      <c r="G229" s="2"/>
      <c r="H229" s="186">
        <f>Inputs!E93</f>
        <v>0</v>
      </c>
      <c r="J229" s="187">
        <v>0</v>
      </c>
      <c r="K229" s="160">
        <f>$H229-J229</f>
        <v>0</v>
      </c>
      <c r="L229" s="166"/>
      <c r="M229" s="2"/>
      <c r="N229" s="187">
        <v>0</v>
      </c>
      <c r="O229" s="160">
        <f>$H229-N229</f>
        <v>0</v>
      </c>
      <c r="P229" s="166"/>
      <c r="Q229" s="24"/>
      <c r="R229" s="33"/>
    </row>
    <row r="230" spans="1:18" ht="15.75">
      <c r="A230" s="39">
        <f>+A229+1</f>
        <v>131</v>
      </c>
      <c r="B230" s="39"/>
      <c r="C230" s="2" t="s">
        <v>182</v>
      </c>
      <c r="D230" s="189" t="s">
        <v>183</v>
      </c>
      <c r="E230" s="39"/>
      <c r="F230" s="2"/>
      <c r="G230" s="2"/>
      <c r="H230" s="189">
        <f>1-(((1-H228)*(1-H227))/(1-H228*H227*H229))</f>
        <v>0.24586599999999992</v>
      </c>
      <c r="J230" s="189">
        <v>0.24586599999999992</v>
      </c>
      <c r="K230" s="189"/>
      <c r="L230" s="189"/>
      <c r="M230" s="2"/>
      <c r="N230" s="189">
        <v>0.24586599999999992</v>
      </c>
      <c r="O230" s="189"/>
      <c r="P230" s="189"/>
      <c r="Q230" s="24"/>
      <c r="R230" s="33"/>
    </row>
    <row r="231" spans="1:18" ht="15.75">
      <c r="A231" s="39">
        <f>A230+1</f>
        <v>132</v>
      </c>
      <c r="B231" s="100"/>
      <c r="C231" s="2" t="s">
        <v>184</v>
      </c>
      <c r="D231" s="100"/>
      <c r="E231" s="100"/>
      <c r="F231" s="100"/>
      <c r="G231" s="100"/>
      <c r="H231" s="189">
        <f>H230/(1-H230)</f>
        <v>0.32602428746084899</v>
      </c>
      <c r="J231" s="189">
        <v>0.32602428746084899</v>
      </c>
      <c r="K231" s="189"/>
      <c r="L231" s="189"/>
      <c r="M231" s="2"/>
      <c r="N231" s="189">
        <v>0.32602428746084899</v>
      </c>
      <c r="O231" s="189"/>
      <c r="P231" s="189"/>
      <c r="Q231" s="24"/>
      <c r="R231" s="33"/>
    </row>
    <row r="232" spans="1:18" ht="15.75">
      <c r="A232" s="39"/>
      <c r="B232" s="39"/>
      <c r="C232" s="2"/>
      <c r="D232" s="2"/>
      <c r="E232" s="88"/>
      <c r="F232" s="190"/>
      <c r="G232" s="185"/>
      <c r="H232" s="191"/>
      <c r="J232" s="191"/>
      <c r="K232" s="191"/>
      <c r="L232" s="191"/>
      <c r="M232" s="2"/>
      <c r="N232" s="191"/>
      <c r="O232" s="191"/>
      <c r="P232" s="191"/>
      <c r="Q232" s="24"/>
      <c r="R232" s="33"/>
    </row>
    <row r="233" spans="1:18" ht="15.75">
      <c r="A233" s="39"/>
      <c r="B233" s="184" t="s">
        <v>60</v>
      </c>
      <c r="C233" s="2"/>
      <c r="D233" s="2"/>
      <c r="E233" s="39"/>
      <c r="F233" s="38"/>
      <c r="G233" s="185"/>
      <c r="H233" s="170"/>
      <c r="J233" s="170"/>
      <c r="K233" s="170"/>
      <c r="L233" s="170"/>
      <c r="M233" s="2"/>
      <c r="N233" s="170"/>
      <c r="O233" s="170"/>
      <c r="P233" s="170"/>
      <c r="Q233" s="24"/>
      <c r="R233" s="33"/>
    </row>
    <row r="234" spans="1:18" ht="15.75">
      <c r="A234" s="39">
        <f>A231+1</f>
        <v>133</v>
      </c>
      <c r="B234" s="39"/>
      <c r="C234" s="2" t="s">
        <v>185</v>
      </c>
      <c r="D234" s="2"/>
      <c r="E234" s="61"/>
      <c r="F234" s="38" t="s">
        <v>25</v>
      </c>
      <c r="G234" s="185"/>
      <c r="H234" s="45">
        <f>'Att 5 - Cost Support'!J158</f>
        <v>-177128.0938425815</v>
      </c>
      <c r="J234" s="43">
        <v>-315573.47248680703</v>
      </c>
      <c r="K234" s="41">
        <f>$H234-J234</f>
        <v>138445.37864422554</v>
      </c>
      <c r="L234" s="44">
        <f>IF(J234=0,"n/m",K234/ABS(J234))</f>
        <v>0.43871044531480202</v>
      </c>
      <c r="M234" s="2"/>
      <c r="N234" s="43">
        <v>-248007.53726769518</v>
      </c>
      <c r="O234" s="41">
        <f>$H234-N234</f>
        <v>70879.443425113684</v>
      </c>
      <c r="P234" s="44">
        <f>IF(N234=0,"n/m",O234/ABS(N234))</f>
        <v>0.28579552140226933</v>
      </c>
      <c r="Q234" s="24"/>
      <c r="R234" s="33"/>
    </row>
    <row r="235" spans="1:18" ht="15.75">
      <c r="A235" s="39">
        <f>+A234+1</f>
        <v>134</v>
      </c>
      <c r="B235" s="39"/>
      <c r="C235" s="97" t="s">
        <v>186</v>
      </c>
      <c r="D235" s="2" t="s">
        <v>187</v>
      </c>
      <c r="E235" s="61"/>
      <c r="F235" s="38" t="str">
        <f>"Line "&amp;A234&amp;" * (1 / (1 - Line "&amp;A230&amp;"))"</f>
        <v>Line 133 * (1 / (1 - Line 131))</v>
      </c>
      <c r="G235" s="102"/>
      <c r="H235" s="104">
        <f>H234*(1/(1-H230))</f>
        <v>-234876.15442690751</v>
      </c>
      <c r="J235" s="104">
        <v>-418458.08899586415</v>
      </c>
      <c r="K235" s="41">
        <f>$H235-J235</f>
        <v>183581.93456895664</v>
      </c>
      <c r="L235" s="44">
        <f>IF(J235=0,"n/m",K235/ABS(J235))</f>
        <v>0.43871044531480208</v>
      </c>
      <c r="M235" s="2"/>
      <c r="N235" s="104">
        <v>-328864.01789031544</v>
      </c>
      <c r="O235" s="41">
        <f>$H235-N235</f>
        <v>93987.863463407935</v>
      </c>
      <c r="P235" s="44">
        <f>IF(N235=0,"n/m",O235/ABS(N235))</f>
        <v>0.28579552140226933</v>
      </c>
      <c r="Q235" s="24"/>
      <c r="R235" s="33"/>
    </row>
    <row r="236" spans="1:18" ht="15.75">
      <c r="A236" s="39"/>
      <c r="B236" s="39"/>
      <c r="C236" s="2"/>
      <c r="D236" s="2"/>
      <c r="E236" s="88"/>
      <c r="F236" s="190"/>
      <c r="G236" s="185"/>
      <c r="H236" s="192"/>
      <c r="J236" s="192"/>
      <c r="K236" s="192"/>
      <c r="L236" s="192"/>
      <c r="M236" s="2"/>
      <c r="N236" s="192"/>
      <c r="O236" s="192"/>
      <c r="P236" s="192"/>
      <c r="Q236" s="24"/>
      <c r="R236" s="33"/>
    </row>
    <row r="237" spans="1:18" ht="15.75">
      <c r="A237" s="39">
        <f>+A235+1</f>
        <v>135</v>
      </c>
      <c r="B237" s="17" t="s">
        <v>188</v>
      </c>
      <c r="C237" s="2"/>
      <c r="D237" s="2" t="s">
        <v>189</v>
      </c>
      <c r="E237" s="37"/>
      <c r="F237" s="38" t="str">
        <f>"[Line "&amp;A231&amp;" * Line "&amp;A222&amp;" * (1- (Line "&amp;A217&amp;" / Line "&amp;A220&amp;"))]"</f>
        <v>[Line 132 * Line 127 * (1- (Line 123 / Line 126))]</v>
      </c>
      <c r="G237" s="2"/>
      <c r="H237" s="193">
        <f>((H231*H222*(1-(H217/H220))))</f>
        <v>104189584.14378251</v>
      </c>
      <c r="J237" s="193">
        <v>81990971.776656374</v>
      </c>
      <c r="K237" s="41">
        <f>$H237-J237</f>
        <v>22198612.367126137</v>
      </c>
      <c r="L237" s="44">
        <f>IF(J237=0,"n/m",K237/ABS(J237))</f>
        <v>0.27074459402182982</v>
      </c>
      <c r="M237" s="2"/>
      <c r="N237" s="193">
        <v>86664281.736888319</v>
      </c>
      <c r="O237" s="41">
        <f>$H237-N237</f>
        <v>17525302.406894192</v>
      </c>
      <c r="P237" s="44">
        <f>IF(N237=0,"n/m",O237/ABS(N237))</f>
        <v>0.20222059256315988</v>
      </c>
      <c r="Q237" s="194"/>
      <c r="R237" s="33"/>
    </row>
    <row r="238" spans="1:18" ht="15.75">
      <c r="A238" s="39" t="str">
        <f>A237&amp;"b"</f>
        <v>135b</v>
      </c>
      <c r="B238" s="17"/>
      <c r="C238" s="2" t="s">
        <v>1770</v>
      </c>
      <c r="D238" s="2"/>
      <c r="E238" s="37"/>
      <c r="F238" s="38" t="s">
        <v>1772</v>
      </c>
      <c r="G238" s="2"/>
      <c r="H238" s="232">
        <f>'Att 1B - ADIT'!F20</f>
        <v>-6863846</v>
      </c>
      <c r="J238" s="193">
        <v>-19896010</v>
      </c>
      <c r="K238" s="41">
        <f t="shared" ref="K238:K239" si="21">$H238-J238</f>
        <v>13032164</v>
      </c>
      <c r="L238" s="44">
        <f t="shared" ref="L238:L239" si="22">IF(J238=0,"n/m",K238/ABS(J238))</f>
        <v>0.65501394500706422</v>
      </c>
      <c r="M238" s="2"/>
      <c r="N238" s="232">
        <v>-6863846</v>
      </c>
      <c r="O238" s="41">
        <f>$H238-N238</f>
        <v>0</v>
      </c>
      <c r="P238" s="44">
        <f>IF(N238=0,"n/m",O238/ABS(N238))</f>
        <v>0</v>
      </c>
      <c r="Q238" s="194"/>
      <c r="R238" s="33"/>
    </row>
    <row r="239" spans="1:18" ht="15.75">
      <c r="A239" s="35" t="str">
        <f>A237&amp;"c"</f>
        <v>135c</v>
      </c>
      <c r="B239" s="17"/>
      <c r="C239" s="17" t="s">
        <v>1771</v>
      </c>
      <c r="D239" s="17" t="s">
        <v>1775</v>
      </c>
      <c r="E239" s="1529"/>
      <c r="F239" s="158" t="s">
        <v>1776</v>
      </c>
      <c r="G239" s="17"/>
      <c r="H239" s="193">
        <f>H238*1/(1-H230)</f>
        <v>-9101626.5013909992</v>
      </c>
      <c r="J239" s="193">
        <v>-26382592.483563926</v>
      </c>
      <c r="K239" s="41">
        <f t="shared" si="21"/>
        <v>17280965.982172929</v>
      </c>
      <c r="L239" s="44">
        <f t="shared" si="22"/>
        <v>0.65501394500706422</v>
      </c>
      <c r="M239" s="2"/>
      <c r="N239" s="193">
        <v>-9101626.5013909992</v>
      </c>
      <c r="O239" s="41">
        <f>$H239-N239</f>
        <v>0</v>
      </c>
      <c r="P239" s="44">
        <f>IF(N239=0,"n/m",O239/ABS(N239))</f>
        <v>0</v>
      </c>
      <c r="Q239" s="194"/>
      <c r="R239" s="33"/>
    </row>
    <row r="240" spans="1:18" ht="15.75">
      <c r="A240" s="39"/>
      <c r="B240" s="39"/>
      <c r="C240" s="34"/>
      <c r="D240" s="2"/>
      <c r="E240" s="39"/>
      <c r="F240" s="102"/>
      <c r="G240" s="102"/>
      <c r="H240" s="99"/>
      <c r="J240" s="99"/>
      <c r="K240" s="99"/>
      <c r="L240" s="99"/>
      <c r="M240" s="2"/>
      <c r="N240" s="99"/>
      <c r="O240" s="99"/>
      <c r="P240" s="99"/>
      <c r="Q240" s="194"/>
      <c r="R240" s="33"/>
    </row>
    <row r="241" spans="1:18" ht="16.5" thickBot="1">
      <c r="A241" s="39">
        <f>+A237+1</f>
        <v>136</v>
      </c>
      <c r="B241" s="179" t="s">
        <v>190</v>
      </c>
      <c r="C241" s="179"/>
      <c r="D241" s="53"/>
      <c r="E241" s="85"/>
      <c r="F241" s="56" t="str">
        <f>"(Line "&amp;A235&amp;" + Line "&amp;A237&amp;"+ Line "&amp;A239&amp;")"</f>
        <v>(Line 134 + Line 135+ Line 135c)</v>
      </c>
      <c r="G241" s="195"/>
      <c r="H241" s="196">
        <f>H235+H237+H239</f>
        <v>94853081.487964615</v>
      </c>
      <c r="J241" s="1720">
        <v>55189921.204096586</v>
      </c>
      <c r="K241" s="87">
        <f>$H241-J241</f>
        <v>39663160.28386803</v>
      </c>
      <c r="L241" s="59">
        <f>IF(J241=0,"n/m",K241/ABS(J241))</f>
        <v>0.71866673150683802</v>
      </c>
      <c r="M241" s="2"/>
      <c r="N241" s="196">
        <v>77233791.217607006</v>
      </c>
      <c r="O241" s="87">
        <f>$H241-N241</f>
        <v>17619290.270357609</v>
      </c>
      <c r="P241" s="59">
        <f>IF(N241=0,"n/m",O241/ABS(N241))</f>
        <v>0.22812929408987676</v>
      </c>
      <c r="Q241" s="182"/>
      <c r="R241" s="33"/>
    </row>
    <row r="242" spans="1:18" ht="16.5" thickTop="1">
      <c r="A242" s="39"/>
      <c r="B242" s="39"/>
      <c r="C242" s="190"/>
      <c r="D242" s="2"/>
      <c r="E242" s="39"/>
      <c r="F242" s="197"/>
      <c r="G242" s="198"/>
      <c r="H242" s="199"/>
      <c r="J242" s="1721"/>
      <c r="K242" s="200"/>
      <c r="L242" s="200"/>
      <c r="M242" s="2"/>
      <c r="N242" s="199"/>
      <c r="O242" s="200"/>
      <c r="P242" s="200"/>
      <c r="Q242" s="182"/>
      <c r="R242" s="33"/>
    </row>
    <row r="243" spans="1:18" ht="15.75">
      <c r="A243" s="27" t="s">
        <v>191</v>
      </c>
      <c r="B243" s="28"/>
      <c r="C243" s="122"/>
      <c r="D243" s="29"/>
      <c r="E243" s="67"/>
      <c r="F243" s="29"/>
      <c r="G243" s="29"/>
      <c r="H243" s="201"/>
      <c r="J243" s="201">
        <v>0</v>
      </c>
      <c r="K243" s="201"/>
      <c r="L243" s="201"/>
      <c r="M243" s="2"/>
      <c r="N243" s="201">
        <v>0</v>
      </c>
      <c r="O243" s="201"/>
      <c r="P243" s="201"/>
      <c r="Q243" s="24"/>
      <c r="R243" s="33"/>
    </row>
    <row r="244" spans="1:18" ht="15.75">
      <c r="A244" s="39"/>
      <c r="B244" s="2"/>
      <c r="C244" s="2"/>
      <c r="D244" s="2"/>
      <c r="E244" s="39"/>
      <c r="F244" s="2"/>
      <c r="G244" s="2"/>
      <c r="H244" s="45"/>
      <c r="J244" s="45"/>
      <c r="K244" s="45"/>
      <c r="L244" s="45"/>
      <c r="M244" s="2"/>
      <c r="N244" s="45"/>
      <c r="O244" s="45"/>
      <c r="P244" s="45"/>
      <c r="Q244" s="24"/>
      <c r="R244" s="33"/>
    </row>
    <row r="245" spans="1:18" ht="15.75">
      <c r="A245" s="39"/>
      <c r="B245" s="17" t="s">
        <v>192</v>
      </c>
      <c r="C245" s="2"/>
      <c r="D245" s="2"/>
      <c r="E245" s="39"/>
      <c r="F245" s="2"/>
      <c r="G245" s="2"/>
      <c r="H245" s="45"/>
      <c r="J245" s="45"/>
      <c r="K245" s="45"/>
      <c r="L245" s="45"/>
      <c r="M245" s="2"/>
      <c r="N245" s="45"/>
      <c r="O245" s="45"/>
      <c r="P245" s="45"/>
      <c r="Q245" s="24"/>
      <c r="R245" s="33"/>
    </row>
    <row r="246" spans="1:18" ht="15.75">
      <c r="A246" s="39">
        <f>+A241+1</f>
        <v>137</v>
      </c>
      <c r="B246" s="2"/>
      <c r="C246" s="2" t="s">
        <v>193</v>
      </c>
      <c r="D246" s="2"/>
      <c r="E246" s="39"/>
      <c r="F246" s="38" t="str">
        <f>"(Line "&amp;A64&amp;")"</f>
        <v>(Line 32)</v>
      </c>
      <c r="G246" s="2"/>
      <c r="H246" s="45">
        <f>H64</f>
        <v>9026195565.2416973</v>
      </c>
      <c r="J246" s="45">
        <v>6140557877.0660648</v>
      </c>
      <c r="K246" s="41">
        <f>$H246-J246</f>
        <v>2885637688.1756325</v>
      </c>
      <c r="L246" s="44">
        <f>IF(J246=0,"n/m",K246/ABS(J246))</f>
        <v>0.469930867186025</v>
      </c>
      <c r="M246" s="2"/>
      <c r="N246" s="45">
        <v>6740195294.4134579</v>
      </c>
      <c r="O246" s="41">
        <f>$H246-N246</f>
        <v>2286000270.8282394</v>
      </c>
      <c r="P246" s="44">
        <f>IF(N246=0,"n/m",O246/ABS(N246))</f>
        <v>0.33915935235926581</v>
      </c>
      <c r="Q246" s="24"/>
      <c r="R246" s="33"/>
    </row>
    <row r="247" spans="1:18" ht="15.75">
      <c r="A247" s="39">
        <f>+A246+1</f>
        <v>138</v>
      </c>
      <c r="B247" s="2"/>
      <c r="C247" s="2" t="s">
        <v>81</v>
      </c>
      <c r="D247" s="2"/>
      <c r="E247" s="39"/>
      <c r="F247" s="63" t="str">
        <f>"(Line "&amp;A105&amp;")"</f>
        <v>(Line 51)</v>
      </c>
      <c r="G247" s="2"/>
      <c r="H247" s="45">
        <f>H105</f>
        <v>-1349319549.2519541</v>
      </c>
      <c r="J247" s="45">
        <v>-1299471261.9317422</v>
      </c>
      <c r="K247" s="41">
        <f>$H247-J247</f>
        <v>-49848287.320211887</v>
      </c>
      <c r="L247" s="44">
        <f>IF(J247=0,"n/m",K247/ABS(J247))</f>
        <v>-3.8360438418706858E-2</v>
      </c>
      <c r="M247" s="2"/>
      <c r="N247" s="45">
        <v>-1305821489.402602</v>
      </c>
      <c r="O247" s="41">
        <f>$H247-N247</f>
        <v>-43498059.849352121</v>
      </c>
      <c r="P247" s="44">
        <f>IF(N247=0,"n/m",O247/ABS(N247))</f>
        <v>-3.331087763707425E-2</v>
      </c>
      <c r="Q247" s="24"/>
      <c r="R247" s="33"/>
    </row>
    <row r="248" spans="1:18" ht="15.75">
      <c r="A248" s="39">
        <f>+A247+1</f>
        <v>139</v>
      </c>
      <c r="B248" s="39"/>
      <c r="C248" s="47" t="s">
        <v>82</v>
      </c>
      <c r="D248" s="81"/>
      <c r="E248" s="202"/>
      <c r="F248" s="38" t="str">
        <f>"(Line "&amp;A107&amp;")"</f>
        <v>(Line 52)</v>
      </c>
      <c r="G248" s="81"/>
      <c r="H248" s="50">
        <f>SUM(H246:H247)</f>
        <v>7676876015.9897432</v>
      </c>
      <c r="J248" s="1710">
        <v>4841086615.1343231</v>
      </c>
      <c r="K248" s="51">
        <f>$H248-J248</f>
        <v>2835789400.8554201</v>
      </c>
      <c r="L248" s="52">
        <f>IF(J248=0,"n/m",K248/ABS(J248))</f>
        <v>0.58577539017585556</v>
      </c>
      <c r="M248" s="2"/>
      <c r="N248" s="50">
        <v>5434373805.0108557</v>
      </c>
      <c r="O248" s="51">
        <f>$H248-N248</f>
        <v>2242502210.9788876</v>
      </c>
      <c r="P248" s="52">
        <f>IF(N248=0,"n/m",O248/ABS(N248))</f>
        <v>0.41265144641157198</v>
      </c>
      <c r="Q248" s="24"/>
      <c r="R248" s="33"/>
    </row>
    <row r="249" spans="1:18" ht="15.75">
      <c r="A249" s="39"/>
      <c r="B249" s="39"/>
      <c r="C249" s="2"/>
      <c r="D249" s="2"/>
      <c r="E249" s="37"/>
      <c r="F249" s="2"/>
      <c r="G249" s="2"/>
      <c r="H249" s="45"/>
      <c r="J249" s="45"/>
      <c r="K249" s="45"/>
      <c r="L249" s="45"/>
      <c r="M249" s="2"/>
      <c r="N249" s="45"/>
      <c r="O249" s="45"/>
      <c r="P249" s="45"/>
      <c r="Q249" s="24"/>
      <c r="R249" s="33"/>
    </row>
    <row r="250" spans="1:18" ht="15.75">
      <c r="A250" s="39">
        <f>+A248+1</f>
        <v>140</v>
      </c>
      <c r="B250" s="2"/>
      <c r="C250" s="2" t="s">
        <v>105</v>
      </c>
      <c r="D250" s="2"/>
      <c r="E250" s="39"/>
      <c r="F250" s="38" t="str">
        <f>"(Line "&amp;A140&amp;")"</f>
        <v>(Line 75)</v>
      </c>
      <c r="G250" s="2"/>
      <c r="H250" s="45">
        <f>H140</f>
        <v>144305483.71811002</v>
      </c>
      <c r="J250" s="45">
        <v>92163517.448836923</v>
      </c>
      <c r="K250" s="41">
        <f>$H250-J250</f>
        <v>52141966.269273102</v>
      </c>
      <c r="L250" s="44">
        <f>IF(J250=0,"n/m",K250/ABS(J250))</f>
        <v>0.56575495068554504</v>
      </c>
      <c r="M250" s="2"/>
      <c r="N250" s="45">
        <v>267823699.68988097</v>
      </c>
      <c r="O250" s="41">
        <f>$H250-N250</f>
        <v>-123518215.97177094</v>
      </c>
      <c r="P250" s="44">
        <f>IF(N250=0,"n/m",O250/ABS(N250))</f>
        <v>-0.46119225488556626</v>
      </c>
      <c r="Q250" s="24"/>
      <c r="R250" s="33"/>
    </row>
    <row r="251" spans="1:18" ht="15.75">
      <c r="A251" s="39">
        <f>+A250+1</f>
        <v>141</v>
      </c>
      <c r="B251" s="2"/>
      <c r="C251" s="34" t="s">
        <v>114</v>
      </c>
      <c r="D251" s="2"/>
      <c r="E251" s="39"/>
      <c r="F251" s="38" t="str">
        <f>"(Line "&amp;A155&amp;")"</f>
        <v>(Line 83)</v>
      </c>
      <c r="G251" s="2"/>
      <c r="H251" s="45">
        <f>H155</f>
        <v>157850800.46004128</v>
      </c>
      <c r="J251" s="45">
        <v>148342499.23742253</v>
      </c>
      <c r="K251" s="41">
        <f>$H251-J251</f>
        <v>9508301.2226187587</v>
      </c>
      <c r="L251" s="44">
        <f>IF(J251=0,"n/m",K251/ABS(J251))</f>
        <v>6.4096946401049237E-2</v>
      </c>
      <c r="M251" s="2"/>
      <c r="N251" s="45">
        <v>150614980.74346867</v>
      </c>
      <c r="O251" s="41">
        <f>$H251-N251</f>
        <v>7235819.7165726125</v>
      </c>
      <c r="P251" s="44">
        <f>IF(N251=0,"n/m",O251/ABS(N251))</f>
        <v>4.8041832763613651E-2</v>
      </c>
      <c r="Q251" s="24"/>
      <c r="R251" s="33"/>
    </row>
    <row r="252" spans="1:18" ht="15.75">
      <c r="A252" s="39">
        <f>+A251+1</f>
        <v>142</v>
      </c>
      <c r="B252" s="39"/>
      <c r="C252" s="2" t="s">
        <v>194</v>
      </c>
      <c r="D252" s="2"/>
      <c r="E252" s="37"/>
      <c r="F252" s="38" t="str">
        <f>"(Line "&amp;A161&amp;")"</f>
        <v>(Line 85)</v>
      </c>
      <c r="G252" s="2"/>
      <c r="H252" s="45">
        <f>H161</f>
        <v>56482207.012604967</v>
      </c>
      <c r="J252" s="45">
        <v>42647984.057653643</v>
      </c>
      <c r="K252" s="41">
        <f>$H252-J252</f>
        <v>13834222.954951324</v>
      </c>
      <c r="L252" s="44">
        <f>IF(J252=0,"n/m",K252/ABS(J252))</f>
        <v>0.32438163867838488</v>
      </c>
      <c r="M252" s="2"/>
      <c r="N252" s="45">
        <v>51062163.161550507</v>
      </c>
      <c r="O252" s="41">
        <f>$H252-N252</f>
        <v>5420043.8510544598</v>
      </c>
      <c r="P252" s="44">
        <f>IF(N252=0,"n/m",O252/ABS(N252))</f>
        <v>0.10614598981845953</v>
      </c>
      <c r="Q252" s="24"/>
      <c r="R252" s="33"/>
    </row>
    <row r="253" spans="1:18" ht="15.75">
      <c r="A253" s="39">
        <f>+A252+1</f>
        <v>143</v>
      </c>
      <c r="B253" s="39"/>
      <c r="C253" s="190" t="s">
        <v>195</v>
      </c>
      <c r="D253" s="2"/>
      <c r="E253" s="37"/>
      <c r="F253" s="38" t="str">
        <f>"(Line "&amp;A222&amp;")"</f>
        <v>(Line 127)</v>
      </c>
      <c r="G253" s="2"/>
      <c r="H253" s="45">
        <f>H222</f>
        <v>548901623.97388685</v>
      </c>
      <c r="J253" s="45">
        <v>357706448.01805377</v>
      </c>
      <c r="K253" s="41">
        <f>$H253-J253</f>
        <v>191195175.95583308</v>
      </c>
      <c r="L253" s="44">
        <f>IF(J253=0,"n/m",K253/ABS(J253))</f>
        <v>0.53450301781024445</v>
      </c>
      <c r="M253" s="2"/>
      <c r="N253" s="45">
        <v>397390505.95793211</v>
      </c>
      <c r="O253" s="41">
        <f>$H253-N253</f>
        <v>151511118.01595473</v>
      </c>
      <c r="P253" s="44">
        <f>IF(N253=0,"n/m",O253/ABS(N253))</f>
        <v>0.38126506734409438</v>
      </c>
      <c r="Q253" s="24"/>
      <c r="R253" s="33"/>
    </row>
    <row r="254" spans="1:18" ht="15.75">
      <c r="A254" s="39">
        <f>+A253+1</f>
        <v>144</v>
      </c>
      <c r="B254" s="39"/>
      <c r="C254" s="190" t="s">
        <v>196</v>
      </c>
      <c r="D254" s="2"/>
      <c r="E254" s="37"/>
      <c r="F254" s="38" t="str">
        <f>"(Line "&amp;A241&amp;")"</f>
        <v>(Line 136)</v>
      </c>
      <c r="G254" s="2"/>
      <c r="H254" s="45">
        <f>H241</f>
        <v>94853081.487964615</v>
      </c>
      <c r="J254" s="45">
        <v>55189921.204096586</v>
      </c>
      <c r="K254" s="41">
        <f>$H254-J254</f>
        <v>39663160.28386803</v>
      </c>
      <c r="L254" s="44">
        <f>IF(J254=0,"n/m",K254/ABS(J254))</f>
        <v>0.71866673150683802</v>
      </c>
      <c r="M254" s="2"/>
      <c r="N254" s="45">
        <v>77233791.217607006</v>
      </c>
      <c r="O254" s="41">
        <f>$H254-N254</f>
        <v>17619290.270357609</v>
      </c>
      <c r="P254" s="44">
        <f>IF(N254=0,"n/m",O254/ABS(N254))</f>
        <v>0.22812929408987676</v>
      </c>
      <c r="Q254" s="24"/>
      <c r="R254" s="33"/>
    </row>
    <row r="255" spans="1:18" ht="16.5" thickBot="1">
      <c r="A255" s="39"/>
      <c r="B255" s="39"/>
      <c r="C255" s="190"/>
      <c r="D255" s="2"/>
      <c r="E255" s="37"/>
      <c r="F255" s="2"/>
      <c r="G255" s="2"/>
      <c r="H255" s="45"/>
      <c r="J255" s="45"/>
      <c r="K255" s="45"/>
      <c r="L255" s="45"/>
      <c r="M255" s="2"/>
      <c r="N255" s="45"/>
      <c r="O255" s="45"/>
      <c r="P255" s="45"/>
      <c r="Q255" s="24"/>
      <c r="R255" s="33"/>
    </row>
    <row r="256" spans="1:18" ht="18.75" thickBot="1">
      <c r="A256" s="203">
        <f>+A254+1</f>
        <v>145</v>
      </c>
      <c r="B256" s="204"/>
      <c r="C256" s="205" t="s">
        <v>197</v>
      </c>
      <c r="D256" s="205"/>
      <c r="E256" s="206"/>
      <c r="F256" s="207" t="str">
        <f>"(Sum Lines "&amp;A250&amp;" to "&amp;A254&amp;")"</f>
        <v>(Sum Lines 140 to 144)</v>
      </c>
      <c r="G256" s="208"/>
      <c r="H256" s="209">
        <f>SUM(H250:H254)</f>
        <v>1002393196.6526077</v>
      </c>
      <c r="J256" s="210">
        <v>696050369.9660635</v>
      </c>
      <c r="K256" s="211">
        <f>$H256-J256</f>
        <v>306342826.68654418</v>
      </c>
      <c r="L256" s="212">
        <f>IF(J256=0,"n/m",K256/ABS(J256))</f>
        <v>0.4401158880232765</v>
      </c>
      <c r="M256" s="2"/>
      <c r="N256" s="210">
        <v>944125140.77043927</v>
      </c>
      <c r="O256" s="211">
        <f>$H256-N256</f>
        <v>58268055.882168412</v>
      </c>
      <c r="P256" s="212">
        <f>IF(N256=0,"n/m",O256/ABS(N256))</f>
        <v>6.1716454065209654E-2</v>
      </c>
      <c r="Q256" s="213"/>
      <c r="R256" s="33"/>
    </row>
    <row r="257" spans="1:19" ht="18">
      <c r="A257" s="214"/>
      <c r="B257" s="215"/>
      <c r="C257" s="216"/>
      <c r="D257" s="216"/>
      <c r="E257" s="217"/>
      <c r="F257" s="158"/>
      <c r="G257" s="218"/>
      <c r="H257" s="219"/>
      <c r="J257" s="219"/>
      <c r="K257" s="219"/>
      <c r="L257" s="219"/>
      <c r="M257" s="2"/>
      <c r="N257" s="219"/>
      <c r="O257" s="219"/>
      <c r="P257" s="219"/>
      <c r="Q257" s="213"/>
      <c r="R257" s="33"/>
    </row>
    <row r="258" spans="1:19" ht="18">
      <c r="A258" s="214"/>
      <c r="B258" s="97" t="s">
        <v>198</v>
      </c>
      <c r="C258" s="216"/>
      <c r="D258" s="216"/>
      <c r="E258" s="217"/>
      <c r="F258" s="158"/>
      <c r="G258" s="218"/>
      <c r="H258" s="219"/>
      <c r="J258" s="219"/>
      <c r="K258" s="219"/>
      <c r="L258" s="219"/>
      <c r="M258" s="2"/>
      <c r="N258" s="219"/>
      <c r="O258" s="219"/>
      <c r="P258" s="219"/>
      <c r="Q258" s="24"/>
      <c r="R258" s="33"/>
    </row>
    <row r="259" spans="1:19" ht="18">
      <c r="A259" s="39">
        <f>+A256+1</f>
        <v>146</v>
      </c>
      <c r="B259" s="39"/>
      <c r="C259" s="2" t="str">
        <f>+C38</f>
        <v>Transmission Plant In Service</v>
      </c>
      <c r="D259" s="216"/>
      <c r="E259" s="217"/>
      <c r="F259" s="38" t="str">
        <f>"(Line "&amp;A38&amp;")"</f>
        <v>(Line 15)</v>
      </c>
      <c r="G259" s="218"/>
      <c r="H259" s="45">
        <f>H38</f>
        <v>10991371603.610001</v>
      </c>
      <c r="J259" s="45">
        <v>8046307901.6800003</v>
      </c>
      <c r="K259" s="41">
        <f>$H259-J259</f>
        <v>2945063701.9300003</v>
      </c>
      <c r="L259" s="44">
        <f>IF(J259=0,"n/m",K259/ABS(J259))</f>
        <v>0.3660142935016315</v>
      </c>
      <c r="M259" s="2"/>
      <c r="N259" s="45">
        <v>8211445572.1400013</v>
      </c>
      <c r="O259" s="41">
        <f>$H259-N259</f>
        <v>2779926031.4699993</v>
      </c>
      <c r="P259" s="44">
        <f>IF(N259=0,"n/m",O259/ABS(N259))</f>
        <v>0.33854283110659616</v>
      </c>
      <c r="Q259" s="24"/>
      <c r="R259" s="33"/>
      <c r="S259" s="42"/>
    </row>
    <row r="260" spans="1:19" ht="18">
      <c r="A260" s="39">
        <f>+A259+1</f>
        <v>147</v>
      </c>
      <c r="B260" s="39"/>
      <c r="C260" s="71" t="s">
        <v>199</v>
      </c>
      <c r="D260" s="220"/>
      <c r="E260" s="72" t="str">
        <f>"(Note "&amp;B$318&amp;")"</f>
        <v>(Note J)</v>
      </c>
      <c r="F260" s="63" t="s">
        <v>200</v>
      </c>
      <c r="G260" s="221"/>
      <c r="H260" s="74">
        <f>'Att 15 - GSU and Assoc''d Equip'!C27</f>
        <v>382485540.50992107</v>
      </c>
      <c r="J260" s="75">
        <v>350284666.49880797</v>
      </c>
      <c r="K260" s="41">
        <f>$H260-J260</f>
        <v>32200874.011113107</v>
      </c>
      <c r="L260" s="44">
        <f>IF(J260=0,"n/m",K260/ABS(J260))</f>
        <v>9.192772933217358E-2</v>
      </c>
      <c r="M260" s="2"/>
      <c r="N260" s="75">
        <v>351717353.98425013</v>
      </c>
      <c r="O260" s="41">
        <f>$H260-N260</f>
        <v>30768186.525670946</v>
      </c>
      <c r="P260" s="44">
        <f>IF(N260=0,"n/m",O260/ABS(N260))</f>
        <v>8.7479864661579199E-2</v>
      </c>
      <c r="Q260" s="24"/>
      <c r="R260" s="33"/>
    </row>
    <row r="261" spans="1:19" ht="18">
      <c r="A261" s="39">
        <f>+A260+1</f>
        <v>148</v>
      </c>
      <c r="B261" s="39"/>
      <c r="C261" s="2" t="s">
        <v>201</v>
      </c>
      <c r="D261" s="216"/>
      <c r="E261" s="217"/>
      <c r="F261" s="38" t="str">
        <f>"(Line "&amp;A259&amp;" - Line "&amp;A260&amp;")"</f>
        <v>(Line 146 - Line 147)</v>
      </c>
      <c r="G261" s="218"/>
      <c r="H261" s="45">
        <f>H259-H260</f>
        <v>10608886063.100079</v>
      </c>
      <c r="J261" s="45">
        <v>7696023235.1811924</v>
      </c>
      <c r="K261" s="51">
        <f>$H261-J261</f>
        <v>2912862827.9188862</v>
      </c>
      <c r="L261" s="52">
        <f>IF(J261=0,"n/m",K261/ABS(J261))</f>
        <v>0.37848934948678165</v>
      </c>
      <c r="M261" s="2"/>
      <c r="N261" s="45">
        <v>7859728218.1557512</v>
      </c>
      <c r="O261" s="51">
        <f>$H261-N261</f>
        <v>2749157844.9443274</v>
      </c>
      <c r="P261" s="52">
        <f>IF(N261=0,"n/m",O261/ABS(N261))</f>
        <v>0.34977772368691451</v>
      </c>
      <c r="Q261" s="24"/>
      <c r="R261" s="33"/>
    </row>
    <row r="262" spans="1:19" ht="18">
      <c r="A262" s="39">
        <f>+A261+1</f>
        <v>149</v>
      </c>
      <c r="B262" s="39"/>
      <c r="C262" s="2" t="s">
        <v>202</v>
      </c>
      <c r="D262" s="216"/>
      <c r="E262" s="217"/>
      <c r="F262" s="38" t="str">
        <f>"(Line "&amp;A261&amp;" / Line "&amp;A259&amp;")"</f>
        <v>(Line 148 / Line 146)</v>
      </c>
      <c r="G262" s="218"/>
      <c r="H262" s="222">
        <f>H261/H259</f>
        <v>0.96520129113055386</v>
      </c>
      <c r="J262" s="222">
        <v>0.95646641033638902</v>
      </c>
      <c r="K262" s="222"/>
      <c r="L262" s="222"/>
      <c r="M262" s="2"/>
      <c r="N262" s="222">
        <v>0.95716742552887824</v>
      </c>
      <c r="O262" s="222"/>
      <c r="P262" s="222"/>
      <c r="Q262" s="24"/>
      <c r="R262" s="1465"/>
      <c r="S262" s="42"/>
    </row>
    <row r="263" spans="1:19" ht="18">
      <c r="A263" s="39">
        <f>+A262+1</f>
        <v>150</v>
      </c>
      <c r="B263" s="39"/>
      <c r="C263" s="71" t="s">
        <v>197</v>
      </c>
      <c r="D263" s="220"/>
      <c r="E263" s="223"/>
      <c r="F263" s="63" t="str">
        <f>"(Line "&amp;A256&amp;")"</f>
        <v>(Line 145)</v>
      </c>
      <c r="G263" s="221"/>
      <c r="H263" s="74">
        <f>H256</f>
        <v>1002393196.6526077</v>
      </c>
      <c r="J263" s="74">
        <v>696050369.9660635</v>
      </c>
      <c r="K263" s="41">
        <f>$H263-J263</f>
        <v>306342826.68654418</v>
      </c>
      <c r="L263" s="44">
        <f>IF(J263=0,"n/m",K263/ABS(J263))</f>
        <v>0.4401158880232765</v>
      </c>
      <c r="M263" s="2"/>
      <c r="N263" s="74">
        <v>944125140.77043927</v>
      </c>
      <c r="O263" s="41">
        <f>$H263-N263</f>
        <v>58268055.882168412</v>
      </c>
      <c r="P263" s="44">
        <f>IF(N263=0,"n/m",O263/ABS(N263))</f>
        <v>6.1716454065209654E-2</v>
      </c>
      <c r="Q263" s="24"/>
      <c r="R263" s="33"/>
    </row>
    <row r="264" spans="1:19" ht="18">
      <c r="A264" s="39">
        <f>+A263+1</f>
        <v>151</v>
      </c>
      <c r="B264" s="39"/>
      <c r="C264" s="17" t="s">
        <v>203</v>
      </c>
      <c r="D264" s="216"/>
      <c r="E264" s="217"/>
      <c r="F264" s="38" t="str">
        <f>"(Line "&amp;A262&amp;" * Line "&amp;A263&amp;")"</f>
        <v>(Line 149 * Line 150)</v>
      </c>
      <c r="G264" s="218"/>
      <c r="H264" s="76">
        <f>H262*H263</f>
        <v>967511207.62958014</v>
      </c>
      <c r="J264" s="76">
        <v>665748798.77475631</v>
      </c>
      <c r="K264" s="51">
        <f>$H264-J264</f>
        <v>301762408.85482383</v>
      </c>
      <c r="L264" s="52">
        <f>IF(J264=0,"n/m",K264/ABS(J264))</f>
        <v>0.45326767304753263</v>
      </c>
      <c r="M264" s="2"/>
      <c r="N264" s="76">
        <v>903685830.36833107</v>
      </c>
      <c r="O264" s="51">
        <f>$H264-N264</f>
        <v>63825377.261249065</v>
      </c>
      <c r="P264" s="52">
        <f>IF(N264=0,"n/m",O264/ABS(N264))</f>
        <v>7.0627838919677027E-2</v>
      </c>
      <c r="Q264" s="24"/>
      <c r="R264" s="33"/>
    </row>
    <row r="265" spans="1:19" ht="15.75">
      <c r="A265" s="95"/>
      <c r="B265" s="39"/>
      <c r="C265" s="2"/>
      <c r="D265" s="2"/>
      <c r="E265" s="37"/>
      <c r="F265" s="2"/>
      <c r="G265" s="2"/>
      <c r="H265" s="123"/>
      <c r="J265" s="123"/>
      <c r="K265" s="123"/>
      <c r="L265" s="123"/>
      <c r="M265" s="2"/>
      <c r="N265" s="123"/>
      <c r="O265" s="123"/>
      <c r="P265" s="123"/>
      <c r="Q265" s="24"/>
      <c r="R265" s="33"/>
    </row>
    <row r="266" spans="1:19" ht="15.75">
      <c r="A266" s="95"/>
      <c r="B266" s="97" t="s">
        <v>204</v>
      </c>
      <c r="C266" s="2"/>
      <c r="D266" s="2"/>
      <c r="E266" s="37"/>
      <c r="F266" s="2"/>
      <c r="G266" s="2"/>
      <c r="H266" s="123"/>
      <c r="J266" s="123"/>
      <c r="K266" s="123"/>
      <c r="L266" s="123"/>
      <c r="M266" s="2"/>
      <c r="N266" s="123"/>
      <c r="O266" s="123"/>
      <c r="P266" s="123"/>
      <c r="Q266" s="24"/>
      <c r="R266" s="33"/>
      <c r="S266" s="1490"/>
    </row>
    <row r="267" spans="1:19" ht="15.75">
      <c r="A267" s="39">
        <f>+A264+1</f>
        <v>152</v>
      </c>
      <c r="B267" s="2"/>
      <c r="C267" s="97" t="s">
        <v>204</v>
      </c>
      <c r="D267" s="224"/>
      <c r="E267" s="225"/>
      <c r="F267" s="2" t="s">
        <v>205</v>
      </c>
      <c r="G267" s="2"/>
      <c r="H267" s="193">
        <f>'Att 3 - Revenue Credits'!E22</f>
        <v>197389887.69867212</v>
      </c>
      <c r="J267" s="226">
        <v>146736897.37793061</v>
      </c>
      <c r="K267" s="41">
        <f>$H267-J267</f>
        <v>50652990.320741504</v>
      </c>
      <c r="L267" s="44">
        <f>IF(J267=0,"n/m",K267/ABS(J267))</f>
        <v>0.34519600199996986</v>
      </c>
      <c r="M267" s="2"/>
      <c r="N267" s="226">
        <v>157191527.63839528</v>
      </c>
      <c r="O267" s="41">
        <f>$H267-N267</f>
        <v>40198360.060276836</v>
      </c>
      <c r="P267" s="44">
        <f>IF(N267=0,"n/m",O267/ABS(N267))</f>
        <v>0.25572854125286881</v>
      </c>
      <c r="Q267" s="24"/>
      <c r="R267" s="33"/>
    </row>
    <row r="268" spans="1:19" ht="16.5" thickBot="1">
      <c r="A268" s="39"/>
      <c r="B268" s="39"/>
      <c r="C268" s="2"/>
      <c r="D268" s="2"/>
      <c r="E268" s="39"/>
      <c r="F268" s="2"/>
      <c r="G268" s="2"/>
      <c r="H268" s="128"/>
      <c r="J268" s="128"/>
      <c r="K268" s="128"/>
      <c r="L268" s="128"/>
      <c r="M268" s="2"/>
      <c r="N268" s="128"/>
      <c r="O268" s="128"/>
      <c r="P268" s="128"/>
      <c r="Q268" s="24"/>
      <c r="R268" s="33"/>
    </row>
    <row r="269" spans="1:19" ht="18.75" thickBot="1">
      <c r="A269" s="203">
        <f>A267+1</f>
        <v>153</v>
      </c>
      <c r="B269" s="227"/>
      <c r="C269" s="228" t="s">
        <v>206</v>
      </c>
      <c r="D269" s="205"/>
      <c r="E269" s="229"/>
      <c r="F269" s="207" t="str">
        <f>"(Line "&amp;A264&amp;" - Line "&amp;A267&amp;")"</f>
        <v>(Line 151 - Line 152)</v>
      </c>
      <c r="G269" s="205"/>
      <c r="H269" s="209">
        <f>H264-H267</f>
        <v>770121319.93090796</v>
      </c>
      <c r="J269" s="210">
        <v>519011901.39682567</v>
      </c>
      <c r="K269" s="211">
        <f>$H269-J269</f>
        <v>251109418.53408229</v>
      </c>
      <c r="L269" s="212">
        <f>IF(J269=0,"n/m",K269/ABS(J269))</f>
        <v>0.48382208164835372</v>
      </c>
      <c r="M269" s="2"/>
      <c r="N269" s="210">
        <v>746494302.72993577</v>
      </c>
      <c r="O269" s="211">
        <f>$H269-N269</f>
        <v>23627017.200972199</v>
      </c>
      <c r="P269" s="212">
        <f>IF(N269=0,"n/m",O269/ABS(N269))</f>
        <v>3.1650632984830569E-2</v>
      </c>
      <c r="Q269" s="24"/>
      <c r="R269" s="33"/>
    </row>
    <row r="270" spans="1:19" ht="15.75">
      <c r="A270" s="95"/>
      <c r="B270" s="39"/>
      <c r="C270" s="2"/>
      <c r="D270" s="2"/>
      <c r="E270" s="39"/>
      <c r="F270" s="2"/>
      <c r="G270" s="2"/>
      <c r="H270" s="128"/>
      <c r="J270" s="128"/>
      <c r="K270" s="128"/>
      <c r="L270" s="128"/>
      <c r="M270" s="2"/>
      <c r="N270" s="128"/>
      <c r="O270" s="128"/>
      <c r="P270" s="128"/>
      <c r="Q270" s="24"/>
      <c r="R270" s="33"/>
    </row>
    <row r="271" spans="1:19" ht="15.75">
      <c r="A271" s="39"/>
      <c r="B271" s="17" t="s">
        <v>207</v>
      </c>
      <c r="C271" s="2"/>
      <c r="D271" s="2"/>
      <c r="E271" s="39"/>
      <c r="F271" s="2"/>
      <c r="G271" s="2"/>
      <c r="H271" s="128"/>
      <c r="J271" s="128"/>
      <c r="K271" s="128"/>
      <c r="L271" s="128"/>
      <c r="M271" s="2"/>
      <c r="N271" s="128"/>
      <c r="O271" s="128"/>
      <c r="P271" s="128"/>
      <c r="Q271" s="24"/>
      <c r="R271" s="33"/>
    </row>
    <row r="272" spans="1:19" ht="15.75">
      <c r="A272" s="39">
        <f>+A269+1</f>
        <v>154</v>
      </c>
      <c r="B272" s="39"/>
      <c r="C272" s="2" t="str">
        <f>+C263</f>
        <v>Gross Revenue Requirement</v>
      </c>
      <c r="D272" s="2"/>
      <c r="E272" s="39"/>
      <c r="F272" s="2" t="str">
        <f>"(Line "&amp;A263&amp;")"</f>
        <v>(Line 150)</v>
      </c>
      <c r="G272" s="2"/>
      <c r="H272" s="230">
        <f>H263</f>
        <v>1002393196.6526077</v>
      </c>
      <c r="J272" s="230">
        <v>696050369.9660635</v>
      </c>
      <c r="K272" s="41">
        <f>$H272-J272</f>
        <v>306342826.68654418</v>
      </c>
      <c r="L272" s="44">
        <f>IF(J272=0,"n/m",K272/ABS(J272))</f>
        <v>0.4401158880232765</v>
      </c>
      <c r="M272" s="2"/>
      <c r="N272" s="230">
        <v>944125140.77043927</v>
      </c>
      <c r="O272" s="41">
        <f>$H272-N272</f>
        <v>58268055.882168412</v>
      </c>
      <c r="P272" s="44">
        <f>IF(N272=0,"n/m",O272/ABS(N272))</f>
        <v>6.1716454065209654E-2</v>
      </c>
      <c r="Q272" s="24"/>
      <c r="R272" s="33"/>
    </row>
    <row r="273" spans="1:18" ht="15.75">
      <c r="A273" s="39">
        <f>+A272+1</f>
        <v>155</v>
      </c>
      <c r="B273" s="39"/>
      <c r="C273" s="2" t="s">
        <v>208</v>
      </c>
      <c r="D273" s="2"/>
      <c r="E273" s="39"/>
      <c r="F273" s="2" t="str">
        <f>"(Line "&amp;A40&amp;" - Line "&amp;A54&amp;" + Line "&amp;A73&amp;")"</f>
        <v>(Line 17 - Line 25 + Line 34)</v>
      </c>
      <c r="G273" s="2"/>
      <c r="H273" s="231">
        <f>(H40-H54)+H73</f>
        <v>8897631905.5204353</v>
      </c>
      <c r="J273" s="230">
        <v>6015170814.0117626</v>
      </c>
      <c r="K273" s="41">
        <f>$H273-J273</f>
        <v>2882461091.5086727</v>
      </c>
      <c r="L273" s="44">
        <f>IF(J273=0,"n/m",K273/ABS(J273))</f>
        <v>0.47919854325570549</v>
      </c>
      <c r="M273" s="2"/>
      <c r="N273" s="231">
        <v>6612585080.8660183</v>
      </c>
      <c r="O273" s="41">
        <f>$H273-N273</f>
        <v>2285046824.654417</v>
      </c>
      <c r="P273" s="44">
        <f>IF(N273=0,"n/m",O273/ABS(N273))</f>
        <v>0.34556029097702823</v>
      </c>
      <c r="Q273" s="24"/>
      <c r="R273" s="33"/>
    </row>
    <row r="274" spans="1:18" ht="15.75">
      <c r="A274" s="39">
        <f>+A273+1</f>
        <v>156</v>
      </c>
      <c r="B274" s="39"/>
      <c r="C274" s="2" t="s">
        <v>209</v>
      </c>
      <c r="D274" s="2"/>
      <c r="E274" s="39"/>
      <c r="F274" s="2" t="str">
        <f>"(Line "&amp;A272&amp;" / Line "&amp;A273&amp;")"</f>
        <v>(Line 154 / Line 155)</v>
      </c>
      <c r="G274" s="2"/>
      <c r="H274" s="79">
        <f>H272/H273</f>
        <v>0.11265842499403511</v>
      </c>
      <c r="J274" s="79">
        <v>0.11571581115280734</v>
      </c>
      <c r="K274" s="160">
        <f>$H274-J274</f>
        <v>-3.0573861587722267E-3</v>
      </c>
      <c r="L274" s="79"/>
      <c r="M274" s="2"/>
      <c r="N274" s="79">
        <v>0.14277701220092154</v>
      </c>
      <c r="O274" s="160">
        <f>$H274-N274</f>
        <v>-3.0118587206886427E-2</v>
      </c>
      <c r="P274" s="79"/>
      <c r="Q274" s="24"/>
      <c r="R274" s="33"/>
    </row>
    <row r="275" spans="1:18" ht="15.75">
      <c r="A275" s="39">
        <f>+A274+1</f>
        <v>157</v>
      </c>
      <c r="B275" s="39"/>
      <c r="C275" s="2" t="s">
        <v>210</v>
      </c>
      <c r="D275" s="2"/>
      <c r="E275" s="39"/>
      <c r="F275" s="2" t="str">
        <f>"(Line "&amp;A272&amp;" - Line "&amp;A145&amp;") / Line "&amp;A273</f>
        <v>(Line 154 - Line 76) / Line 155</v>
      </c>
      <c r="G275" s="2"/>
      <c r="H275" s="79">
        <f>(H272-H145)/H273</f>
        <v>9.6216056220695442E-2</v>
      </c>
      <c r="J275" s="79">
        <v>9.2869737076259715E-2</v>
      </c>
      <c r="K275" s="160">
        <f>$H275-J275</f>
        <v>3.3463191444357276E-3</v>
      </c>
      <c r="L275" s="79"/>
      <c r="M275" s="2"/>
      <c r="N275" s="79">
        <v>0.12165022361649341</v>
      </c>
      <c r="O275" s="160">
        <f>$H275-N275</f>
        <v>-2.5434167395797971E-2</v>
      </c>
      <c r="P275" s="79"/>
      <c r="Q275" s="24"/>
      <c r="R275" s="33"/>
    </row>
    <row r="276" spans="1:18" ht="15.75">
      <c r="A276" s="39">
        <f>+A275+1</f>
        <v>158</v>
      </c>
      <c r="B276" s="39"/>
      <c r="C276" s="2" t="s">
        <v>211</v>
      </c>
      <c r="D276" s="2"/>
      <c r="E276" s="39"/>
      <c r="F276" s="2" t="str">
        <f>"(Line "&amp;A272&amp;" - Line "&amp;A145&amp;" - Line "&amp;A222&amp;" - Line "&amp;A241&amp;") / Line "&amp;A273</f>
        <v>(Line 154 - Line 76 - Line 127 - Line 136) / Line 155</v>
      </c>
      <c r="G276" s="2"/>
      <c r="H276" s="79">
        <f>(H272-H145-H222-H241)/H273</f>
        <v>2.3864815767329284E-2</v>
      </c>
      <c r="J276" s="79">
        <v>2.4227235975484995E-2</v>
      </c>
      <c r="K276" s="160">
        <f>$H276-J276</f>
        <v>-3.6242020815571013E-4</v>
      </c>
      <c r="L276" s="79"/>
      <c r="M276" s="2"/>
      <c r="N276" s="79">
        <v>4.9874315802634343E-2</v>
      </c>
      <c r="O276" s="160">
        <f>$H276-N276</f>
        <v>-2.6009500035305059E-2</v>
      </c>
      <c r="P276" s="79"/>
      <c r="Q276" s="24"/>
      <c r="R276" s="33"/>
    </row>
    <row r="277" spans="1:18" ht="15.75">
      <c r="A277" s="39"/>
      <c r="B277" s="39"/>
      <c r="C277" s="2"/>
      <c r="D277" s="2"/>
      <c r="E277" s="39"/>
      <c r="F277" s="2"/>
      <c r="G277" s="2"/>
      <c r="H277" s="60"/>
      <c r="J277" s="60"/>
      <c r="K277" s="60"/>
      <c r="L277" s="60"/>
      <c r="M277" s="2"/>
      <c r="N277" s="60"/>
      <c r="O277" s="60"/>
      <c r="P277" s="60"/>
      <c r="Q277" s="24"/>
      <c r="R277" s="33"/>
    </row>
    <row r="278" spans="1:18" ht="15.75">
      <c r="A278" s="39"/>
      <c r="B278" s="17" t="s">
        <v>212</v>
      </c>
      <c r="C278" s="2"/>
      <c r="D278" s="2"/>
      <c r="E278" s="39"/>
      <c r="F278" s="2"/>
      <c r="G278" s="2"/>
      <c r="H278" s="60"/>
      <c r="J278" s="60"/>
      <c r="K278" s="60"/>
      <c r="L278" s="60"/>
      <c r="M278" s="2"/>
      <c r="N278" s="60"/>
      <c r="O278" s="60"/>
      <c r="P278" s="60"/>
      <c r="Q278" s="24"/>
      <c r="R278" s="33"/>
    </row>
    <row r="279" spans="1:18" ht="15.75">
      <c r="A279" s="39">
        <f>+A276+1</f>
        <v>159</v>
      </c>
      <c r="B279" s="39"/>
      <c r="C279" s="2" t="s">
        <v>213</v>
      </c>
      <c r="D279" s="2"/>
      <c r="E279" s="39"/>
      <c r="F279" s="2" t="str">
        <f>"(Line "&amp;A263&amp;" - Line "&amp;A253&amp;" - Line "&amp;A254&amp;")"</f>
        <v>(Line 150 - Line 143 - Line 144)</v>
      </c>
      <c r="G279" s="2"/>
      <c r="H279" s="232">
        <f>H263-H253-H254</f>
        <v>358638491.1907562</v>
      </c>
      <c r="J279" s="232">
        <v>283154000.74391317</v>
      </c>
      <c r="K279" s="41">
        <f>$H279-J279</f>
        <v>75484490.446843028</v>
      </c>
      <c r="L279" s="44">
        <f>IF(J279=0,"n/m",K279/ABS(J279))</f>
        <v>0.26658458029385862</v>
      </c>
      <c r="M279" s="2"/>
      <c r="N279" s="232">
        <v>469500843.59490013</v>
      </c>
      <c r="O279" s="41">
        <f>$H279-N279</f>
        <v>-110862352.40414393</v>
      </c>
      <c r="P279" s="44">
        <f>IF(N279=0,"n/m",O279/ABS(N279))</f>
        <v>-0.23612812184806084</v>
      </c>
      <c r="Q279" s="24"/>
      <c r="R279" s="33"/>
    </row>
    <row r="280" spans="1:18" ht="15.75">
      <c r="A280" s="39">
        <f>+A279+1</f>
        <v>160</v>
      </c>
      <c r="B280" s="39"/>
      <c r="C280" s="2" t="s">
        <v>214</v>
      </c>
      <c r="D280" s="2"/>
      <c r="E280" s="39"/>
      <c r="F280" s="2" t="s">
        <v>215</v>
      </c>
      <c r="G280" s="2"/>
      <c r="H280" s="232">
        <f>'Att 4 - 100 Basis Point ROE'!I8</f>
        <v>686989035.56539989</v>
      </c>
      <c r="J280" s="233">
        <v>446919180.89780986</v>
      </c>
      <c r="K280" s="41">
        <f>$H280-J280</f>
        <v>240069854.66759002</v>
      </c>
      <c r="L280" s="44">
        <f>IF(J280=0,"n/m",K280/ABS(J280))</f>
        <v>0.53716614754667047</v>
      </c>
      <c r="M280" s="2"/>
      <c r="N280" s="233">
        <v>510586429.17403018</v>
      </c>
      <c r="O280" s="41">
        <f>$H280-N280</f>
        <v>176402606.3913697</v>
      </c>
      <c r="P280" s="44">
        <f>IF(N280=0,"n/m",O280/ABS(N280))</f>
        <v>0.34549019776482148</v>
      </c>
      <c r="Q280" s="24"/>
      <c r="R280" s="33"/>
    </row>
    <row r="281" spans="1:18" ht="15.75">
      <c r="A281" s="39">
        <f>+A280+1</f>
        <v>161</v>
      </c>
      <c r="B281" s="39"/>
      <c r="C281" s="2" t="s">
        <v>216</v>
      </c>
      <c r="D281" s="2"/>
      <c r="E281" s="39"/>
      <c r="F281" s="2" t="str">
        <f>"(Line "&amp;A279&amp;" + Line "&amp;A280&amp;")"</f>
        <v>(Line 159 + Line 160)</v>
      </c>
      <c r="G281" s="2"/>
      <c r="H281" s="232">
        <f>H279+H280</f>
        <v>1045627526.7561561</v>
      </c>
      <c r="J281" s="232">
        <v>730073181.64172304</v>
      </c>
      <c r="K281" s="41">
        <f>$H281-J281</f>
        <v>315554345.11443305</v>
      </c>
      <c r="L281" s="44">
        <f>IF(J281=0,"n/m",K281/ABS(J281))</f>
        <v>0.43222289634696998</v>
      </c>
      <c r="M281" s="2"/>
      <c r="N281" s="232">
        <v>980087272.76893032</v>
      </c>
      <c r="O281" s="41">
        <f>$H281-N281</f>
        <v>65540253.987225771</v>
      </c>
      <c r="P281" s="44">
        <f>IF(N281=0,"n/m",O281/ABS(N281))</f>
        <v>6.6871854995180446E-2</v>
      </c>
      <c r="Q281" s="24"/>
      <c r="R281" s="33"/>
    </row>
    <row r="282" spans="1:18" ht="15.75">
      <c r="A282" s="39">
        <f>+A281+1</f>
        <v>162</v>
      </c>
      <c r="B282" s="39"/>
      <c r="C282" s="2" t="str">
        <f>+C273</f>
        <v xml:space="preserve">Net Transmission Plant </v>
      </c>
      <c r="D282" s="2"/>
      <c r="E282" s="39"/>
      <c r="F282" s="2" t="str">
        <f>"(Line "&amp;A40&amp;" - Line "&amp;A54&amp;" + Line "&amp;A73&amp;")"</f>
        <v>(Line 17 - Line 25 + Line 34)</v>
      </c>
      <c r="G282" s="2"/>
      <c r="H282" s="231">
        <f>(H40-H54)+H73</f>
        <v>8897631905.5204353</v>
      </c>
      <c r="J282" s="232">
        <v>6015170814.0117626</v>
      </c>
      <c r="K282" s="41">
        <f>$H282-J282</f>
        <v>2882461091.5086727</v>
      </c>
      <c r="L282" s="44">
        <f>IF(J282=0,"n/m",K282/ABS(J282))</f>
        <v>0.47919854325570549</v>
      </c>
      <c r="M282" s="2"/>
      <c r="N282" s="231">
        <v>6612585080.8660183</v>
      </c>
      <c r="O282" s="41">
        <f>$H282-N282</f>
        <v>2285046824.654417</v>
      </c>
      <c r="P282" s="44">
        <f>IF(N282=0,"n/m",O282/ABS(N282))</f>
        <v>0.34556029097702823</v>
      </c>
      <c r="Q282" s="24"/>
      <c r="R282" s="33"/>
    </row>
    <row r="283" spans="1:18" ht="15.75">
      <c r="A283" s="39">
        <f>+A282+1</f>
        <v>163</v>
      </c>
      <c r="B283" s="39"/>
      <c r="C283" s="2" t="s">
        <v>217</v>
      </c>
      <c r="D283" s="2"/>
      <c r="E283" s="39"/>
      <c r="F283" s="2" t="str">
        <f>"(Line "&amp;A281&amp;" / Line "&amp;A282&amp;")"</f>
        <v>(Line 161 / Line 162)</v>
      </c>
      <c r="G283" s="2"/>
      <c r="H283" s="234">
        <f>H281/H282</f>
        <v>0.11751750778849464</v>
      </c>
      <c r="J283" s="234">
        <v>0.1213719783220599</v>
      </c>
      <c r="K283" s="234"/>
      <c r="L283" s="234"/>
      <c r="M283" s="2"/>
      <c r="N283" s="234">
        <v>0.14821544990095961</v>
      </c>
      <c r="O283" s="234"/>
      <c r="P283" s="234"/>
      <c r="Q283" s="24"/>
      <c r="R283" s="33"/>
    </row>
    <row r="284" spans="1:18" ht="15.75">
      <c r="A284" s="39">
        <f>+A283+1</f>
        <v>164</v>
      </c>
      <c r="B284" s="39"/>
      <c r="C284" s="2" t="s">
        <v>218</v>
      </c>
      <c r="D284" s="2"/>
      <c r="E284" s="39"/>
      <c r="F284" s="2" t="str">
        <f>"(Line "&amp;A281&amp;" - Line "&amp;A145&amp;") /  Line "&amp;A282</f>
        <v>(Line 161 - Line 76) /  Line 162</v>
      </c>
      <c r="G284" s="2"/>
      <c r="H284" s="234">
        <f>(H281-H145)/H282</f>
        <v>0.10107513901515496</v>
      </c>
      <c r="J284" s="234">
        <v>9.8525904245512275E-2</v>
      </c>
      <c r="K284" s="234"/>
      <c r="L284" s="234"/>
      <c r="M284" s="2"/>
      <c r="N284" s="234">
        <v>0.12708866131653149</v>
      </c>
      <c r="O284" s="234"/>
      <c r="P284" s="234"/>
      <c r="Q284" s="24"/>
      <c r="R284" s="33"/>
    </row>
    <row r="285" spans="1:18" ht="15.75">
      <c r="A285" s="39"/>
      <c r="B285" s="39"/>
      <c r="C285" s="2"/>
      <c r="D285" s="2"/>
      <c r="E285" s="39"/>
      <c r="F285" s="2"/>
      <c r="G285" s="2"/>
      <c r="H285" s="175"/>
      <c r="J285" s="175"/>
      <c r="K285" s="175"/>
      <c r="L285" s="175"/>
      <c r="M285" s="2"/>
      <c r="N285" s="175"/>
      <c r="O285" s="175"/>
      <c r="P285" s="175"/>
      <c r="Q285" s="24"/>
      <c r="R285" s="33"/>
    </row>
    <row r="286" spans="1:18" ht="15.75">
      <c r="A286" s="39">
        <f>+A284+1</f>
        <v>165</v>
      </c>
      <c r="B286" s="39"/>
      <c r="C286" s="17" t="s">
        <v>206</v>
      </c>
      <c r="D286" s="2"/>
      <c r="E286" s="39"/>
      <c r="F286" s="2" t="str">
        <f>"(Line "&amp;A269&amp;")"</f>
        <v>(Line 153)</v>
      </c>
      <c r="G286" s="2"/>
      <c r="H286" s="232">
        <f>H269</f>
        <v>770121319.93090796</v>
      </c>
      <c r="J286" s="232">
        <v>519011901.39682567</v>
      </c>
      <c r="K286" s="41">
        <f>$H286-J286</f>
        <v>251109418.53408229</v>
      </c>
      <c r="L286" s="44">
        <f>IF(J286=0,"n/m",K286/ABS(J286))</f>
        <v>0.48382208164835372</v>
      </c>
      <c r="M286" s="2"/>
      <c r="N286" s="232">
        <v>746494302.72993577</v>
      </c>
      <c r="O286" s="41">
        <f>$H286-N286</f>
        <v>23627017.200972199</v>
      </c>
      <c r="P286" s="44">
        <f>IF(N286=0,"n/m",O286/ABS(N286))</f>
        <v>3.1650632984830569E-2</v>
      </c>
      <c r="Q286" s="24"/>
      <c r="R286" s="33"/>
    </row>
    <row r="287" spans="1:18" ht="15.75">
      <c r="A287" s="39">
        <f>+A286+1</f>
        <v>166</v>
      </c>
      <c r="B287" s="39"/>
      <c r="C287" s="2" t="s">
        <v>219</v>
      </c>
      <c r="D287" s="235"/>
      <c r="E287" s="61"/>
      <c r="F287" s="2" t="s">
        <v>220</v>
      </c>
      <c r="G287" s="2"/>
      <c r="H287" s="232">
        <f>'Att 5 - Cost Support'!H285</f>
        <v>0</v>
      </c>
      <c r="J287" s="233">
        <v>0</v>
      </c>
      <c r="K287" s="41">
        <f>$H287-J287</f>
        <v>0</v>
      </c>
      <c r="L287" s="44" t="str">
        <f>IF(J287=0,"n/m",K287/ABS(J287))</f>
        <v>n/m</v>
      </c>
      <c r="M287" s="2"/>
      <c r="N287" s="233">
        <v>0</v>
      </c>
      <c r="O287" s="41">
        <f>$H287-N287</f>
        <v>0</v>
      </c>
      <c r="P287" s="44" t="str">
        <f>IF(N287=0,"n/m",O287/ABS(N287))</f>
        <v>n/m</v>
      </c>
      <c r="Q287" s="24"/>
      <c r="R287" s="33"/>
    </row>
    <row r="288" spans="1:18" ht="15.75">
      <c r="A288" s="39">
        <f>A287+1</f>
        <v>167</v>
      </c>
      <c r="B288" s="39"/>
      <c r="C288" s="2" t="s">
        <v>221</v>
      </c>
      <c r="D288" s="235"/>
      <c r="E288" s="61"/>
      <c r="F288" s="2" t="s">
        <v>222</v>
      </c>
      <c r="G288" s="2"/>
      <c r="H288" s="232">
        <f>INDEX('Att 7 - Trans Enhance Charge'!$D$30:$T$71,MATCH(IF(Toggle=Projection,data_year+1,data_year)&amp;'Att 7 - Trans Enhance Charge'!$C$31,'Att 7 - Trans Enhance Charge'!$B$30:$B$69,0),MATCH('Att 7 - Trans Enhance Charge'!$T$29,'Att 7 - Trans Enhance Charge'!$D$29:$T$29,0))</f>
        <v>10778327.766302288</v>
      </c>
      <c r="J288" s="233">
        <v>5371880.2355568111</v>
      </c>
      <c r="K288" s="41">
        <f>$H288-J288</f>
        <v>5406447.5307454765</v>
      </c>
      <c r="L288" s="44">
        <f>IF(J288=0,"n/m",K288/ABS(J288))</f>
        <v>1.0064348596157937</v>
      </c>
      <c r="M288" s="2"/>
      <c r="N288" s="233">
        <v>6306698.8036174178</v>
      </c>
      <c r="O288" s="41">
        <f>$H288-N288</f>
        <v>4471628.9626848698</v>
      </c>
      <c r="P288" s="44">
        <f>IF(N288=0,"n/m",O288/ABS(N288))</f>
        <v>0.70902846353150994</v>
      </c>
      <c r="Q288" s="24"/>
      <c r="R288" s="33"/>
    </row>
    <row r="289" spans="1:18" ht="15.75">
      <c r="A289" s="39">
        <f>A288+1</f>
        <v>168</v>
      </c>
      <c r="B289" s="39"/>
      <c r="C289" s="2" t="s">
        <v>223</v>
      </c>
      <c r="D289" s="235"/>
      <c r="E289" s="61"/>
      <c r="F289" s="2" t="s">
        <v>220</v>
      </c>
      <c r="G289" s="2"/>
      <c r="H289" s="232">
        <f>'Att 5 - Cost Support'!H286</f>
        <v>17583283.460000001</v>
      </c>
      <c r="J289" s="233">
        <v>5813346.4000000004</v>
      </c>
      <c r="K289" s="41">
        <f>$H289-J289</f>
        <v>11769937.060000001</v>
      </c>
      <c r="L289" s="44">
        <f>IF(J289=0,"n/m",K289/ABS(J289))</f>
        <v>2.0246405856702432</v>
      </c>
      <c r="M289" s="2"/>
      <c r="N289" s="233">
        <v>12905843.309999999</v>
      </c>
      <c r="O289" s="41">
        <f>$H289-N289</f>
        <v>4677440.1500000022</v>
      </c>
      <c r="P289" s="44">
        <f>IF(N289=0,"n/m",O289/ABS(N289))</f>
        <v>0.36242809072195398</v>
      </c>
      <c r="Q289" s="24"/>
      <c r="R289" s="33"/>
    </row>
    <row r="290" spans="1:18" ht="15.75">
      <c r="A290" s="39">
        <f>A289+1</f>
        <v>169</v>
      </c>
      <c r="B290" s="39"/>
      <c r="C290" s="17" t="s">
        <v>224</v>
      </c>
      <c r="D290" s="2"/>
      <c r="E290" s="39"/>
      <c r="F290" s="2" t="str">
        <f>"(Line "&amp;A286&amp;" + "&amp;A287&amp;" + "&amp;A288&amp;" + "&amp;A289&amp;")"</f>
        <v>(Line 165 + 166 + 167 + 168)</v>
      </c>
      <c r="G290" s="2"/>
      <c r="H290" s="232">
        <f>(H286+H287+H288+H289)</f>
        <v>798482931.15721035</v>
      </c>
      <c r="J290" s="232">
        <v>530197128.03238249</v>
      </c>
      <c r="K290" s="41">
        <f>$H290-J290</f>
        <v>268285803.12482786</v>
      </c>
      <c r="L290" s="44">
        <f>IF(J290=0,"n/m",K290/ABS(J290))</f>
        <v>0.50601142280884248</v>
      </c>
      <c r="M290" s="2"/>
      <c r="N290" s="232">
        <v>765706844.84355307</v>
      </c>
      <c r="O290" s="41">
        <f>$H290-N290</f>
        <v>32776086.313657284</v>
      </c>
      <c r="P290" s="44">
        <f>IF(N290=0,"n/m",O290/ABS(N290))</f>
        <v>4.2805006295005756E-2</v>
      </c>
      <c r="Q290" s="24"/>
      <c r="R290" s="33"/>
    </row>
    <row r="291" spans="1:18" ht="15.75">
      <c r="A291" s="39"/>
      <c r="B291" s="39"/>
      <c r="C291" s="2"/>
      <c r="D291" s="2"/>
      <c r="E291" s="39"/>
      <c r="F291" s="2"/>
      <c r="G291" s="2"/>
      <c r="H291" s="193"/>
      <c r="J291" s="193"/>
      <c r="K291" s="193"/>
      <c r="L291" s="193"/>
      <c r="M291" s="2"/>
      <c r="N291" s="193"/>
      <c r="O291" s="193"/>
      <c r="P291" s="193"/>
      <c r="Q291" s="24"/>
      <c r="R291" s="33"/>
    </row>
    <row r="292" spans="1:18" ht="15.75">
      <c r="A292" s="39"/>
      <c r="B292" s="97" t="s">
        <v>225</v>
      </c>
      <c r="C292" s="2"/>
      <c r="D292" s="2"/>
      <c r="E292" s="225"/>
      <c r="F292" s="2"/>
      <c r="G292" s="2"/>
      <c r="H292" s="193"/>
      <c r="J292" s="193"/>
      <c r="K292" s="193"/>
      <c r="L292" s="193"/>
      <c r="M292" s="2"/>
      <c r="N292" s="193"/>
      <c r="O292" s="193"/>
      <c r="P292" s="193"/>
      <c r="Q292" s="24"/>
      <c r="R292" s="33"/>
    </row>
    <row r="293" spans="1:18" ht="15.75">
      <c r="A293" s="39">
        <f>+A290+1</f>
        <v>170</v>
      </c>
      <c r="B293" s="39"/>
      <c r="C293" s="2" t="s">
        <v>226</v>
      </c>
      <c r="D293" s="2"/>
      <c r="E293" s="61" t="str">
        <f>"(Note "&amp;B$316&amp;")"</f>
        <v>(Note I)</v>
      </c>
      <c r="F293" s="2" t="s">
        <v>227</v>
      </c>
      <c r="G293" s="2"/>
      <c r="H293" s="193">
        <f>IF(Toggle=Projection,'Att 9a - 2025 Projection'!AO43,IF(Toggle=True_up,'Att 9b - 2024 True-up'!AV43,"Set Toggle!"))</f>
        <v>15088.229631051274</v>
      </c>
      <c r="J293" s="226">
        <v>14291.609299058162</v>
      </c>
      <c r="K293" s="41">
        <f>$H293-J293</f>
        <v>796.6203319931119</v>
      </c>
      <c r="L293" s="44">
        <f>IF(J293=0,"n/m",K293/ABS(J293))</f>
        <v>5.5740421902354294E-2</v>
      </c>
      <c r="M293" s="236"/>
      <c r="N293" s="226">
        <v>14304.354593888891</v>
      </c>
      <c r="O293" s="41">
        <f>$H293-N293</f>
        <v>783.8750371623828</v>
      </c>
      <c r="P293" s="44">
        <f>IF(N293=0,"n/m",O293/ABS(N293))</f>
        <v>5.4799748707101407E-2</v>
      </c>
      <c r="Q293" s="24"/>
      <c r="R293" s="33"/>
    </row>
    <row r="294" spans="1:18" ht="15.75">
      <c r="A294" s="39">
        <f>+A293+1</f>
        <v>171</v>
      </c>
      <c r="B294" s="39"/>
      <c r="C294" s="2" t="s">
        <v>228</v>
      </c>
      <c r="D294" s="237"/>
      <c r="E294" s="238"/>
      <c r="F294" s="38" t="str">
        <f>"(Line "&amp;A290&amp;" / "&amp;A293&amp;")"</f>
        <v>(Line 169 / 170)</v>
      </c>
      <c r="G294" s="239"/>
      <c r="H294" s="240">
        <f>H290/H293</f>
        <v>52920.915884919232</v>
      </c>
      <c r="J294" s="240">
        <v>37098.49023561841</v>
      </c>
      <c r="K294" s="41">
        <f>$H294-J294</f>
        <v>15822.425649300822</v>
      </c>
      <c r="L294" s="44">
        <f>IF(J294=0,"n/m",K294/ABS(J294))</f>
        <v>0.42649783182038087</v>
      </c>
      <c r="M294" s="2"/>
      <c r="N294" s="240">
        <v>53529.632519783765</v>
      </c>
      <c r="O294" s="41">
        <f>$H294-N294</f>
        <v>-608.71663486453326</v>
      </c>
      <c r="P294" s="44">
        <f>IF(N294=0,"n/m",O294/ABS(N294))</f>
        <v>-1.1371582546163763E-2</v>
      </c>
      <c r="Q294" s="24"/>
      <c r="R294" s="33"/>
    </row>
    <row r="295" spans="1:18" ht="16.5" thickBot="1">
      <c r="A295" s="39"/>
      <c r="B295" s="39"/>
      <c r="C295" s="2"/>
      <c r="D295" s="2"/>
      <c r="E295" s="238"/>
      <c r="F295" s="239"/>
      <c r="G295" s="239"/>
      <c r="H295" s="104"/>
      <c r="J295" s="104"/>
      <c r="K295" s="104"/>
      <c r="L295" s="104"/>
      <c r="M295" s="2"/>
      <c r="N295" s="104"/>
      <c r="O295" s="104"/>
      <c r="P295" s="104"/>
      <c r="Q295" s="24"/>
      <c r="R295" s="33"/>
    </row>
    <row r="296" spans="1:18" ht="18.75" thickBot="1">
      <c r="A296" s="203">
        <f>+A294+1</f>
        <v>172</v>
      </c>
      <c r="B296" s="229"/>
      <c r="C296" s="228" t="s">
        <v>229</v>
      </c>
      <c r="D296" s="229"/>
      <c r="E296" s="229"/>
      <c r="F296" s="208" t="str">
        <f>"(Line "&amp;A294&amp;")"</f>
        <v>(Line 171)</v>
      </c>
      <c r="G296" s="229"/>
      <c r="H296" s="1910">
        <f>H294</f>
        <v>52920.915884919232</v>
      </c>
      <c r="J296" s="210">
        <v>37098.49023561841</v>
      </c>
      <c r="K296" s="211">
        <f>$H296-J296</f>
        <v>15822.425649300822</v>
      </c>
      <c r="L296" s="212">
        <f>IF(J296=0,"n/m",K296/ABS(J296))</f>
        <v>0.42649783182038087</v>
      </c>
      <c r="M296" s="2"/>
      <c r="N296" s="210">
        <v>53529.632519783765</v>
      </c>
      <c r="O296" s="211">
        <f>$H296-N296</f>
        <v>-608.71663486453326</v>
      </c>
      <c r="P296" s="212">
        <f>IF(N296=0,"n/m",O296/ABS(N296))</f>
        <v>-1.1371582546163763E-2</v>
      </c>
      <c r="Q296" s="24"/>
      <c r="R296" s="33"/>
    </row>
    <row r="297" spans="1:18" ht="15.75">
      <c r="A297" s="95"/>
      <c r="B297" s="39"/>
      <c r="C297" s="2"/>
      <c r="D297" s="2"/>
      <c r="E297" s="238"/>
      <c r="F297" s="239"/>
      <c r="G297" s="239"/>
      <c r="H297" s="104"/>
      <c r="J297" s="104"/>
      <c r="K297" s="104"/>
      <c r="L297" s="104"/>
      <c r="M297" s="2"/>
      <c r="N297" s="104"/>
      <c r="O297" s="104"/>
      <c r="P297" s="104"/>
      <c r="Q297" s="24"/>
      <c r="R297" s="33"/>
    </row>
    <row r="298" spans="1:18" ht="15.75">
      <c r="A298" s="27" t="s">
        <v>6</v>
      </c>
      <c r="B298" s="29"/>
      <c r="C298" s="29"/>
      <c r="D298" s="29"/>
      <c r="E298" s="67"/>
      <c r="F298" s="29"/>
      <c r="G298" s="29"/>
      <c r="H298" s="29"/>
      <c r="J298" s="29"/>
      <c r="K298" s="29"/>
      <c r="L298" s="29"/>
      <c r="M298" s="2"/>
      <c r="N298" s="29"/>
      <c r="O298" s="29"/>
      <c r="P298" s="29"/>
      <c r="Q298" s="24"/>
      <c r="R298" s="33"/>
    </row>
    <row r="299" spans="1:18" ht="20.25">
      <c r="A299" s="241"/>
      <c r="B299" s="215"/>
      <c r="C299" s="242"/>
      <c r="D299" s="218"/>
      <c r="E299" s="243"/>
      <c r="F299" s="244"/>
      <c r="G299" s="245"/>
      <c r="H299" s="246"/>
      <c r="J299" s="246"/>
      <c r="K299" s="246"/>
      <c r="L299" s="246"/>
      <c r="M299" s="2"/>
      <c r="N299" s="246"/>
      <c r="O299" s="246"/>
      <c r="P299" s="246"/>
      <c r="Q299" s="24"/>
      <c r="R299" s="33"/>
    </row>
    <row r="300" spans="1:18" ht="20.25">
      <c r="A300" s="241"/>
      <c r="B300" s="215" t="s">
        <v>230</v>
      </c>
      <c r="C300" s="247" t="str">
        <f>"Line "&amp;A39&amp;" includes New Transmission Plant to be placed in service in the current calendar year.   Projected capital additions will include only the capital costs associated "</f>
        <v xml:space="preserve">Line 16 includes New Transmission Plant to be placed in service in the current calendar year.   Projected capital additions will include only the capital costs associated </v>
      </c>
      <c r="D300" s="218"/>
      <c r="E300" s="243"/>
      <c r="F300" s="245"/>
      <c r="G300" s="245"/>
      <c r="H300" s="1815"/>
      <c r="J300" s="248"/>
      <c r="K300" s="248"/>
      <c r="L300" s="248"/>
      <c r="M300" s="2"/>
      <c r="N300" s="248"/>
      <c r="O300" s="248"/>
      <c r="P300" s="248"/>
      <c r="Q300" s="24"/>
      <c r="R300" s="33"/>
    </row>
    <row r="301" spans="1:18" ht="20.25">
      <c r="A301" s="241"/>
      <c r="B301" s="39"/>
      <c r="C301" s="218" t="s">
        <v>231</v>
      </c>
      <c r="D301" s="218"/>
      <c r="E301" s="243"/>
      <c r="F301" s="245"/>
      <c r="G301" s="245"/>
      <c r="H301" s="248"/>
      <c r="J301" s="248"/>
      <c r="K301" s="248"/>
      <c r="L301" s="248"/>
      <c r="M301" s="249"/>
      <c r="N301" s="1810"/>
      <c r="O301" s="1815"/>
      <c r="P301" s="248"/>
      <c r="Q301" s="24"/>
      <c r="R301" s="33"/>
    </row>
    <row r="302" spans="1:18" ht="20.25">
      <c r="A302" s="241"/>
      <c r="B302" s="39"/>
      <c r="C302" s="218" t="s">
        <v>232</v>
      </c>
      <c r="D302" s="218"/>
      <c r="E302" s="243"/>
      <c r="F302" s="245"/>
      <c r="G302" s="245"/>
      <c r="H302" s="248"/>
      <c r="J302" s="248"/>
      <c r="K302" s="248"/>
      <c r="L302" s="248"/>
      <c r="M302" s="2"/>
      <c r="N302" s="248"/>
      <c r="O302" s="248"/>
      <c r="P302" s="248"/>
      <c r="Q302" s="24"/>
      <c r="R302" s="33"/>
    </row>
    <row r="303" spans="1:18" ht="20.25">
      <c r="A303" s="241"/>
      <c r="B303" s="215" t="s">
        <v>233</v>
      </c>
      <c r="C303" s="247" t="s">
        <v>234</v>
      </c>
      <c r="D303" s="218"/>
      <c r="E303" s="243"/>
      <c r="F303" s="245"/>
      <c r="G303" s="245"/>
      <c r="H303" s="1881"/>
      <c r="J303" s="248"/>
      <c r="K303" s="248"/>
      <c r="L303" s="248"/>
      <c r="M303" s="2"/>
      <c r="N303" s="248"/>
      <c r="O303" s="248"/>
      <c r="P303" s="248"/>
      <c r="Q303" s="24"/>
      <c r="R303" s="33"/>
    </row>
    <row r="304" spans="1:18" ht="20.25">
      <c r="A304" s="241"/>
      <c r="B304" s="215" t="s">
        <v>235</v>
      </c>
      <c r="C304" s="218" t="str">
        <f>"Annual membership dues (e.g., for EPRI, NEETRAC, SEPA and NCTA) are excluded from the calculation of the ATRR and charges under the Formula Rate and are subtracted from "</f>
        <v xml:space="preserve">Annual membership dues (e.g., for EPRI, NEETRAC, SEPA and NCTA) are excluded from the calculation of the ATRR and charges under the Formula Rate and are subtracted from </v>
      </c>
      <c r="D304" s="250"/>
      <c r="E304" s="250"/>
      <c r="F304" s="250"/>
      <c r="G304" s="250"/>
      <c r="H304" s="250"/>
      <c r="J304" s="248"/>
      <c r="K304" s="248"/>
      <c r="L304" s="248"/>
      <c r="M304" s="236"/>
      <c r="N304" s="248"/>
      <c r="O304" s="250"/>
      <c r="P304" s="250"/>
      <c r="Q304" s="24"/>
      <c r="R304" s="33"/>
    </row>
    <row r="305" spans="1:18" ht="20.25">
      <c r="A305" s="241"/>
      <c r="B305" s="215"/>
      <c r="C305" s="218" t="str">
        <f>"Total A&amp;G.  Total A&amp;G does not include lobbying expenses."</f>
        <v>Total A&amp;G.  Total A&amp;G does not include lobbying expenses.</v>
      </c>
      <c r="D305" s="250"/>
      <c r="E305" s="250"/>
      <c r="F305" s="250"/>
      <c r="G305" s="250"/>
      <c r="H305" s="250"/>
      <c r="I305" s="250"/>
      <c r="J305" s="248"/>
      <c r="K305" s="248"/>
      <c r="L305" s="248"/>
      <c r="M305" s="236"/>
      <c r="N305" s="248"/>
      <c r="O305" s="250"/>
      <c r="P305" s="250"/>
      <c r="Q305" s="24"/>
      <c r="R305" s="33"/>
    </row>
    <row r="306" spans="1:18" ht="20.25">
      <c r="A306" s="241"/>
      <c r="B306" s="215" t="s">
        <v>236</v>
      </c>
      <c r="C306" s="218" t="s">
        <v>237</v>
      </c>
      <c r="D306" s="218"/>
      <c r="E306" s="243"/>
      <c r="F306" s="245"/>
      <c r="G306" s="245"/>
      <c r="H306" s="248"/>
      <c r="I306" s="248"/>
      <c r="J306" s="248"/>
      <c r="K306" s="248"/>
      <c r="L306" s="248"/>
      <c r="M306" s="2"/>
      <c r="N306" s="248"/>
      <c r="O306" s="248"/>
      <c r="P306" s="248"/>
      <c r="Q306" s="24"/>
      <c r="R306" s="33"/>
    </row>
    <row r="307" spans="1:18" ht="20.25">
      <c r="A307" s="241"/>
      <c r="B307" s="215" t="s">
        <v>238</v>
      </c>
      <c r="C307" s="218" t="s">
        <v>239</v>
      </c>
      <c r="D307" s="218"/>
      <c r="E307" s="243"/>
      <c r="F307" s="245"/>
      <c r="G307" s="245"/>
      <c r="H307" s="248"/>
      <c r="I307" s="248"/>
      <c r="J307" s="248"/>
      <c r="K307" s="248"/>
      <c r="L307" s="248"/>
      <c r="M307" s="2"/>
      <c r="N307" s="248"/>
      <c r="O307" s="248"/>
      <c r="P307" s="248"/>
      <c r="Q307" s="24"/>
      <c r="R307" s="33"/>
    </row>
    <row r="308" spans="1:18" ht="20.25">
      <c r="A308" s="241"/>
      <c r="B308" s="215" t="s">
        <v>240</v>
      </c>
      <c r="C308" s="218" t="s">
        <v>241</v>
      </c>
      <c r="D308" s="218"/>
      <c r="E308" s="243"/>
      <c r="F308" s="245"/>
      <c r="G308" s="245"/>
      <c r="H308" s="248"/>
      <c r="I308" s="248"/>
      <c r="J308" s="248"/>
      <c r="K308" s="248"/>
      <c r="L308" s="248"/>
      <c r="M308" s="2"/>
      <c r="N308" s="248"/>
      <c r="O308" s="248"/>
      <c r="P308" s="248"/>
      <c r="Q308" s="24"/>
      <c r="R308" s="33"/>
    </row>
    <row r="309" spans="1:18" ht="20.25">
      <c r="A309" s="241"/>
      <c r="B309" s="215" t="s">
        <v>242</v>
      </c>
      <c r="C309" s="251" t="s">
        <v>243</v>
      </c>
      <c r="D309" s="218"/>
      <c r="E309" s="243"/>
      <c r="F309" s="245"/>
      <c r="G309" s="245"/>
      <c r="H309" s="248"/>
      <c r="I309" s="248"/>
      <c r="J309" s="248"/>
      <c r="K309" s="248"/>
      <c r="L309" s="248"/>
      <c r="M309" s="2"/>
      <c r="N309" s="248"/>
      <c r="O309" s="248"/>
      <c r="P309" s="248"/>
      <c r="Q309" s="24"/>
      <c r="R309" s="33"/>
    </row>
    <row r="310" spans="1:18" ht="20.25">
      <c r="A310" s="241"/>
      <c r="B310" s="215"/>
      <c r="C310" s="218" t="s">
        <v>244</v>
      </c>
      <c r="D310" s="218"/>
      <c r="E310" s="243"/>
      <c r="F310" s="245"/>
      <c r="G310" s="245"/>
      <c r="H310" s="248"/>
      <c r="I310" s="248"/>
      <c r="J310" s="248"/>
      <c r="K310" s="248"/>
      <c r="L310" s="248"/>
      <c r="M310" s="2"/>
      <c r="N310" s="248"/>
      <c r="O310" s="248"/>
      <c r="P310" s="248"/>
      <c r="Q310" s="24"/>
      <c r="R310" s="33"/>
    </row>
    <row r="311" spans="1:18" ht="20.25">
      <c r="A311" s="241"/>
      <c r="B311" s="39"/>
      <c r="C311" s="218" t="s">
        <v>245</v>
      </c>
      <c r="D311" s="218"/>
      <c r="E311" s="243"/>
      <c r="F311" s="245"/>
      <c r="G311" s="245"/>
      <c r="H311" s="248"/>
      <c r="I311" s="248"/>
      <c r="J311" s="248"/>
      <c r="K311" s="248"/>
      <c r="L311" s="248"/>
      <c r="M311" s="2"/>
      <c r="N311" s="248"/>
      <c r="O311" s="248"/>
      <c r="P311" s="248"/>
      <c r="Q311" s="24"/>
      <c r="R311" s="33"/>
    </row>
    <row r="312" spans="1:18" ht="20.25">
      <c r="A312" s="241"/>
      <c r="B312" s="39"/>
      <c r="C312" s="247" t="s">
        <v>246</v>
      </c>
      <c r="D312" s="218"/>
      <c r="E312" s="243"/>
      <c r="F312" s="245"/>
      <c r="G312" s="245"/>
      <c r="H312" s="248"/>
      <c r="I312" s="248"/>
      <c r="J312" s="248"/>
      <c r="K312" s="248"/>
      <c r="L312" s="248"/>
      <c r="M312" s="2"/>
      <c r="N312" s="248"/>
      <c r="O312" s="248"/>
      <c r="P312" s="248"/>
      <c r="Q312" s="24"/>
      <c r="R312" s="33"/>
    </row>
    <row r="313" spans="1:18" ht="20.25">
      <c r="A313" s="241"/>
      <c r="B313" s="215" t="s">
        <v>247</v>
      </c>
      <c r="C313" s="218" t="s">
        <v>248</v>
      </c>
      <c r="D313" s="218"/>
      <c r="E313" s="243"/>
      <c r="F313" s="245"/>
      <c r="G313" s="245"/>
      <c r="H313" s="248"/>
      <c r="I313" s="248"/>
      <c r="J313" s="248"/>
      <c r="K313" s="248"/>
      <c r="L313" s="248"/>
      <c r="M313" s="2"/>
      <c r="N313" s="248"/>
      <c r="O313" s="248"/>
      <c r="P313" s="248"/>
      <c r="Q313" s="24"/>
      <c r="R313" s="33"/>
    </row>
    <row r="314" spans="1:18" ht="20.25">
      <c r="A314" s="241"/>
      <c r="B314" s="215"/>
      <c r="C314" s="1924" t="s">
        <v>249</v>
      </c>
      <c r="D314" s="1924"/>
      <c r="E314" s="1924"/>
      <c r="F314" s="1924"/>
      <c r="G314" s="1924"/>
      <c r="H314" s="1924"/>
      <c r="I314" s="248"/>
      <c r="J314" s="248"/>
      <c r="K314" s="248"/>
      <c r="L314" s="248"/>
      <c r="M314" s="2"/>
      <c r="N314" s="248"/>
      <c r="O314" s="248"/>
      <c r="P314" s="248"/>
      <c r="Q314" s="24"/>
      <c r="R314" s="33"/>
    </row>
    <row r="315" spans="1:18" ht="20.25">
      <c r="A315" s="241"/>
      <c r="B315" s="215"/>
      <c r="C315" s="218" t="s">
        <v>250</v>
      </c>
      <c r="D315" s="218"/>
      <c r="E315" s="243"/>
      <c r="F315" s="245"/>
      <c r="G315" s="245"/>
      <c r="H315" s="248"/>
      <c r="I315" s="248"/>
      <c r="J315" s="248"/>
      <c r="K315" s="248"/>
      <c r="L315" s="248"/>
      <c r="M315" s="2"/>
      <c r="N315" s="248"/>
      <c r="O315" s="248"/>
      <c r="P315" s="248"/>
      <c r="Q315" s="24"/>
      <c r="R315" s="33"/>
    </row>
    <row r="316" spans="1:18" ht="20.25">
      <c r="A316" s="241"/>
      <c r="B316" s="215" t="s">
        <v>251</v>
      </c>
      <c r="C316" s="218" t="s">
        <v>252</v>
      </c>
      <c r="D316" s="218"/>
      <c r="E316" s="243"/>
      <c r="F316" s="245"/>
      <c r="G316" s="245"/>
      <c r="H316" s="248"/>
      <c r="I316" s="248"/>
      <c r="J316" s="248"/>
      <c r="K316" s="248"/>
      <c r="L316" s="248"/>
      <c r="M316" s="2"/>
      <c r="N316" s="248"/>
      <c r="O316" s="248"/>
      <c r="P316" s="248"/>
      <c r="Q316" s="24"/>
      <c r="R316" s="33"/>
    </row>
    <row r="317" spans="1:18" ht="20.25">
      <c r="A317" s="241"/>
      <c r="B317" s="215"/>
      <c r="C317" s="218" t="s">
        <v>253</v>
      </c>
      <c r="D317" s="218"/>
      <c r="E317" s="243"/>
      <c r="F317" s="245"/>
      <c r="G317" s="245"/>
      <c r="H317" s="248"/>
      <c r="I317" s="248"/>
      <c r="J317" s="248"/>
      <c r="K317" s="248"/>
      <c r="L317" s="248"/>
      <c r="M317" s="2"/>
      <c r="N317" s="248"/>
      <c r="O317" s="248"/>
      <c r="P317" s="248"/>
      <c r="Q317" s="24"/>
      <c r="R317" s="33"/>
    </row>
    <row r="318" spans="1:18" ht="20.25">
      <c r="A318" s="241"/>
      <c r="B318" s="215" t="s">
        <v>254</v>
      </c>
      <c r="C318" s="218" t="s">
        <v>255</v>
      </c>
      <c r="D318" s="218"/>
      <c r="E318" s="243"/>
      <c r="F318" s="245"/>
      <c r="G318" s="245"/>
      <c r="H318" s="248"/>
      <c r="I318" s="248"/>
      <c r="J318" s="248"/>
      <c r="K318" s="248"/>
      <c r="L318" s="248"/>
      <c r="M318" s="2"/>
      <c r="N318" s="248"/>
      <c r="O318" s="248"/>
      <c r="P318" s="248"/>
      <c r="Q318" s="24"/>
      <c r="R318" s="33"/>
    </row>
    <row r="319" spans="1:18" ht="20.25">
      <c r="A319" s="241"/>
      <c r="B319" s="215" t="s">
        <v>256</v>
      </c>
      <c r="C319" s="218" t="s">
        <v>257</v>
      </c>
      <c r="D319" s="218"/>
      <c r="E319" s="243"/>
      <c r="F319" s="245"/>
      <c r="G319" s="245"/>
      <c r="H319" s="248"/>
      <c r="I319" s="248"/>
      <c r="J319" s="248"/>
      <c r="K319" s="248"/>
      <c r="L319" s="248"/>
      <c r="M319" s="2"/>
      <c r="N319" s="248"/>
      <c r="O319" s="248"/>
      <c r="P319" s="248"/>
      <c r="Q319" s="24"/>
      <c r="R319" s="33"/>
    </row>
    <row r="320" spans="1:18" ht="20.25">
      <c r="A320" s="241"/>
      <c r="B320" s="215" t="s">
        <v>258</v>
      </c>
      <c r="C320" s="218" t="s">
        <v>259</v>
      </c>
      <c r="D320" s="218"/>
      <c r="E320" s="243"/>
      <c r="F320" s="245"/>
      <c r="G320" s="245"/>
      <c r="H320" s="248"/>
      <c r="I320" s="248"/>
      <c r="J320" s="248"/>
      <c r="K320" s="248"/>
      <c r="L320" s="248"/>
      <c r="M320" s="2"/>
      <c r="N320" s="248"/>
      <c r="O320" s="248"/>
      <c r="P320" s="248"/>
      <c r="Q320" s="24"/>
      <c r="R320" s="33"/>
    </row>
    <row r="321" spans="1:18" ht="20.25">
      <c r="A321" s="241"/>
      <c r="B321" s="215"/>
      <c r="C321" s="218" t="s">
        <v>260</v>
      </c>
      <c r="D321" s="218"/>
      <c r="E321" s="243"/>
      <c r="F321" s="245"/>
      <c r="G321" s="245"/>
      <c r="H321" s="248"/>
      <c r="I321" s="248"/>
      <c r="J321" s="248"/>
      <c r="K321" s="248"/>
      <c r="L321" s="248"/>
      <c r="M321" s="2"/>
      <c r="N321" s="248"/>
      <c r="O321" s="248"/>
      <c r="P321" s="248"/>
      <c r="Q321" s="24"/>
      <c r="R321" s="33"/>
    </row>
    <row r="322" spans="1:18" ht="20.25">
      <c r="A322" s="241"/>
      <c r="B322" s="215" t="s">
        <v>261</v>
      </c>
      <c r="C322" s="218" t="s">
        <v>262</v>
      </c>
      <c r="D322" s="218"/>
      <c r="E322" s="243"/>
      <c r="F322" s="245"/>
      <c r="G322" s="245"/>
      <c r="H322" s="248"/>
      <c r="I322" s="248"/>
      <c r="J322" s="248"/>
      <c r="K322" s="248"/>
      <c r="L322" s="248"/>
      <c r="M322" s="2"/>
      <c r="N322" s="248"/>
      <c r="O322" s="248"/>
      <c r="P322" s="248"/>
      <c r="Q322" s="24"/>
      <c r="R322" s="33"/>
    </row>
    <row r="323" spans="1:18" ht="20.25">
      <c r="A323" s="241"/>
      <c r="B323" s="215" t="s">
        <v>263</v>
      </c>
      <c r="C323" s="218" t="s">
        <v>264</v>
      </c>
      <c r="D323" s="218"/>
      <c r="E323" s="243"/>
      <c r="F323" s="245"/>
      <c r="G323" s="245"/>
      <c r="H323" s="248"/>
      <c r="I323" s="248"/>
      <c r="J323" s="248"/>
      <c r="K323" s="248"/>
      <c r="L323" s="248"/>
      <c r="M323" s="2"/>
      <c r="N323" s="248"/>
      <c r="O323" s="248"/>
      <c r="P323" s="248"/>
      <c r="Q323" s="24"/>
      <c r="R323" s="33"/>
    </row>
    <row r="324" spans="1:18" ht="20.25">
      <c r="A324" s="252"/>
      <c r="B324" s="215" t="s">
        <v>265</v>
      </c>
      <c r="C324" s="218" t="s">
        <v>266</v>
      </c>
      <c r="D324" s="218"/>
      <c r="E324" s="243"/>
      <c r="F324" s="245"/>
      <c r="G324" s="245"/>
      <c r="H324" s="248"/>
      <c r="I324" s="248"/>
      <c r="J324" s="248"/>
      <c r="K324" s="248"/>
      <c r="L324" s="248"/>
      <c r="M324" s="2"/>
      <c r="N324" s="248"/>
      <c r="O324" s="248"/>
      <c r="P324" s="248"/>
      <c r="Q324" s="24"/>
      <c r="R324" s="33"/>
    </row>
    <row r="325" spans="1:18" ht="20.25">
      <c r="A325" s="252"/>
      <c r="B325" s="215" t="s">
        <v>267</v>
      </c>
      <c r="C325" s="1913" t="s">
        <v>268</v>
      </c>
      <c r="D325" s="1913"/>
      <c r="E325" s="1913"/>
      <c r="F325" s="1913"/>
      <c r="G325" s="1913"/>
      <c r="H325" s="1913"/>
      <c r="I325" s="253"/>
      <c r="J325" s="253"/>
      <c r="K325" s="253"/>
      <c r="L325" s="253"/>
      <c r="M325" s="2"/>
      <c r="N325" s="253"/>
      <c r="O325" s="253"/>
      <c r="P325" s="253"/>
      <c r="Q325" s="24"/>
      <c r="R325" s="33"/>
    </row>
    <row r="326" spans="1:18" ht="20.25">
      <c r="A326" s="252"/>
      <c r="B326" s="215"/>
      <c r="C326" s="1913"/>
      <c r="D326" s="1913"/>
      <c r="E326" s="1913"/>
      <c r="F326" s="1913"/>
      <c r="G326" s="1913"/>
      <c r="H326" s="1913"/>
      <c r="I326" s="253"/>
      <c r="J326" s="253"/>
      <c r="K326" s="253"/>
      <c r="L326" s="253"/>
      <c r="M326" s="2"/>
      <c r="N326" s="253"/>
      <c r="O326" s="253"/>
      <c r="P326" s="253"/>
      <c r="Q326" s="24"/>
      <c r="R326" s="33"/>
    </row>
    <row r="327" spans="1:18" ht="20.25">
      <c r="A327" s="254"/>
      <c r="B327" s="215" t="s">
        <v>269</v>
      </c>
      <c r="C327" s="1913" t="s">
        <v>270</v>
      </c>
      <c r="D327" s="1913"/>
      <c r="E327" s="1913"/>
      <c r="F327" s="1913"/>
      <c r="G327" s="1913"/>
      <c r="H327" s="1913"/>
      <c r="I327" s="253"/>
      <c r="J327" s="253"/>
      <c r="K327" s="253"/>
      <c r="L327" s="253"/>
      <c r="M327" s="2"/>
      <c r="N327" s="253"/>
      <c r="O327" s="253"/>
      <c r="P327" s="253"/>
      <c r="Q327" s="24"/>
      <c r="R327" s="33"/>
    </row>
    <row r="328" spans="1:18" ht="20.25">
      <c r="A328" s="254"/>
      <c r="B328" s="215" t="s">
        <v>271</v>
      </c>
      <c r="C328" s="1913" t="s">
        <v>272</v>
      </c>
      <c r="D328" s="1913"/>
      <c r="E328" s="1913"/>
      <c r="F328" s="1913"/>
      <c r="G328" s="1913"/>
      <c r="H328" s="1913"/>
      <c r="I328" s="253"/>
      <c r="J328" s="253"/>
      <c r="K328" s="253"/>
      <c r="L328" s="253"/>
      <c r="N328" s="253"/>
      <c r="O328" s="253"/>
      <c r="P328" s="253"/>
      <c r="Q328" s="24"/>
      <c r="R328" s="33"/>
    </row>
    <row r="329" spans="1:18" ht="20.25">
      <c r="A329" s="254"/>
      <c r="B329" s="215"/>
      <c r="C329" s="1913"/>
      <c r="D329" s="1913"/>
      <c r="E329" s="1913"/>
      <c r="F329" s="1913"/>
      <c r="G329" s="1913"/>
      <c r="H329" s="1913"/>
      <c r="I329" s="253"/>
      <c r="J329" s="253"/>
      <c r="K329" s="253"/>
      <c r="L329" s="253"/>
      <c r="N329" s="253"/>
      <c r="O329" s="253"/>
      <c r="P329" s="253"/>
      <c r="Q329" s="24"/>
      <c r="R329" s="33"/>
    </row>
    <row r="330" spans="1:18" ht="20.25">
      <c r="A330" s="254"/>
      <c r="B330" s="215" t="s">
        <v>273</v>
      </c>
      <c r="C330" s="1914" t="s">
        <v>274</v>
      </c>
      <c r="D330" s="1914"/>
      <c r="E330" s="1914"/>
      <c r="F330" s="1914"/>
      <c r="G330" s="1914"/>
      <c r="H330" s="1914"/>
      <c r="I330" s="255"/>
      <c r="J330" s="255"/>
      <c r="K330" s="255"/>
      <c r="L330" s="255"/>
      <c r="M330" s="2"/>
      <c r="N330" s="255"/>
      <c r="O330" s="255"/>
      <c r="P330" s="255"/>
      <c r="Q330" s="24"/>
      <c r="R330" s="33"/>
    </row>
    <row r="331" spans="1:18" ht="20.25">
      <c r="A331" s="254"/>
      <c r="B331" s="215"/>
      <c r="C331" s="1915" t="s">
        <v>275</v>
      </c>
      <c r="D331" s="1915"/>
      <c r="E331" s="1915"/>
      <c r="F331" s="1915"/>
      <c r="G331" s="1915"/>
      <c r="H331" s="1915"/>
      <c r="I331" s="256"/>
      <c r="J331" s="256"/>
      <c r="K331" s="256"/>
      <c r="L331" s="256"/>
      <c r="M331" s="2"/>
      <c r="N331" s="256"/>
      <c r="O331" s="256"/>
      <c r="P331" s="256"/>
      <c r="Q331" s="24"/>
      <c r="R331" s="33"/>
    </row>
    <row r="332" spans="1:18" ht="20.25">
      <c r="A332" s="254"/>
      <c r="B332" s="215"/>
      <c r="C332" s="1915" t="s">
        <v>276</v>
      </c>
      <c r="D332" s="1915"/>
      <c r="E332" s="1915"/>
      <c r="F332" s="1915"/>
      <c r="G332" s="1915"/>
      <c r="H332" s="1915"/>
      <c r="I332" s="256"/>
      <c r="J332" s="256"/>
      <c r="K332" s="256"/>
      <c r="L332" s="256"/>
      <c r="M332" s="2"/>
      <c r="N332" s="256"/>
      <c r="O332" s="256"/>
      <c r="P332" s="256"/>
      <c r="Q332" s="24"/>
      <c r="R332" s="33"/>
    </row>
    <row r="333" spans="1:18" ht="20.25">
      <c r="A333" s="254"/>
      <c r="B333" s="215"/>
      <c r="C333" s="1915" t="s">
        <v>277</v>
      </c>
      <c r="D333" s="1915"/>
      <c r="E333" s="1915"/>
      <c r="F333" s="1915"/>
      <c r="G333" s="1915"/>
      <c r="H333" s="1915"/>
      <c r="I333" s="256"/>
      <c r="J333" s="256"/>
      <c r="K333" s="256"/>
      <c r="L333" s="256"/>
      <c r="M333" s="2"/>
      <c r="N333" s="256"/>
      <c r="O333" s="256"/>
      <c r="P333" s="256"/>
      <c r="Q333" s="24"/>
      <c r="R333" s="33"/>
    </row>
    <row r="334" spans="1:18" ht="20.25">
      <c r="A334" s="254"/>
      <c r="B334" s="215" t="s">
        <v>182</v>
      </c>
      <c r="C334" s="218" t="s">
        <v>278</v>
      </c>
      <c r="D334" s="218"/>
      <c r="E334" s="215"/>
      <c r="F334" s="218"/>
      <c r="G334" s="218"/>
      <c r="H334" s="218"/>
      <c r="I334" s="218"/>
      <c r="J334" s="218"/>
      <c r="K334" s="218"/>
      <c r="L334" s="218"/>
      <c r="M334" s="2"/>
      <c r="N334" s="218"/>
      <c r="O334" s="218"/>
      <c r="P334" s="218"/>
      <c r="Q334" s="24"/>
      <c r="R334" s="33"/>
    </row>
    <row r="335" spans="1:18" ht="21" thickBot="1">
      <c r="A335" s="257"/>
      <c r="B335" s="258"/>
      <c r="C335" s="258"/>
      <c r="D335" s="258"/>
      <c r="E335" s="259"/>
      <c r="F335" s="258"/>
      <c r="G335" s="258"/>
      <c r="H335" s="258"/>
      <c r="I335" s="218"/>
      <c r="J335" s="218"/>
      <c r="K335" s="218"/>
      <c r="L335" s="218"/>
      <c r="M335" s="2"/>
      <c r="N335" s="218"/>
      <c r="O335" s="218"/>
      <c r="P335" s="218"/>
      <c r="Q335" s="24"/>
      <c r="R335" s="33"/>
    </row>
  </sheetData>
  <mergeCells count="11">
    <mergeCell ref="C327:H327"/>
    <mergeCell ref="A6:D7"/>
    <mergeCell ref="E6:E7"/>
    <mergeCell ref="F6:G7"/>
    <mergeCell ref="C314:H314"/>
    <mergeCell ref="C325:H326"/>
    <mergeCell ref="C328:H329"/>
    <mergeCell ref="C330:H330"/>
    <mergeCell ref="C331:H331"/>
    <mergeCell ref="C332:H332"/>
    <mergeCell ref="C333:H333"/>
  </mergeCells>
  <dataValidations count="1">
    <dataValidation type="list" allowBlank="1" showInputMessage="1" showErrorMessage="1" sqref="Q8" xr:uid="{00000000-0002-0000-0100-000000000000}">
      <formula1>Toggle.list</formula1>
    </dataValidation>
  </dataValidations>
  <pageMargins left="0.7" right="0.7" top="0.75" bottom="0.75" header="0.3" footer="0.3"/>
  <pageSetup scale="50" fitToHeight="0" orientation="landscape" r:id="rId1"/>
  <rowBreaks count="7" manualBreakCount="7">
    <brk id="50" max="16383" man="1"/>
    <brk id="107" max="16383" man="1"/>
    <brk id="161" max="16383" man="1"/>
    <brk id="204" max="16383" man="1"/>
    <brk id="241" max="16383" man="1"/>
    <brk id="296" max="16383" man="1"/>
    <brk id="335"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A43"/>
  <sheetViews>
    <sheetView zoomScaleNormal="100" workbookViewId="0">
      <selection activeCell="P3" sqref="P3"/>
    </sheetView>
  </sheetViews>
  <sheetFormatPr defaultRowHeight="15"/>
  <cols>
    <col min="1" max="1" width="4.7109375" customWidth="1"/>
    <col min="2" max="2" width="14.28515625" customWidth="1"/>
    <col min="3" max="3" width="6" customWidth="1"/>
    <col min="4" max="4" width="7.5703125" bestFit="1" customWidth="1"/>
    <col min="5" max="5" width="13.42578125" customWidth="1"/>
    <col min="6" max="7" width="11.5703125" customWidth="1"/>
    <col min="8" max="10" width="15.42578125" customWidth="1"/>
    <col min="11" max="14" width="11.5703125" customWidth="1"/>
    <col min="15" max="15" width="14.85546875" customWidth="1"/>
    <col min="16" max="17" width="11.5703125" customWidth="1"/>
    <col min="18" max="18" width="15.28515625" customWidth="1"/>
    <col min="19" max="19" width="11.5703125" customWidth="1"/>
    <col min="20" max="21" width="16" customWidth="1"/>
    <col min="22" max="22" width="18" customWidth="1"/>
    <col min="23" max="23" width="12.28515625" customWidth="1"/>
    <col min="24" max="24" width="14.140625" customWidth="1"/>
    <col min="25" max="25" width="6.5703125" hidden="1" customWidth="1"/>
    <col min="26" max="26" width="10.5703125" bestFit="1" customWidth="1"/>
    <col min="27" max="27" width="11.5703125" bestFit="1" customWidth="1"/>
  </cols>
  <sheetData>
    <row r="1" spans="1:27" ht="15.75">
      <c r="A1" s="1071"/>
      <c r="B1" s="1988" t="s">
        <v>2</v>
      </c>
      <c r="C1" s="1968"/>
      <c r="D1" s="1968"/>
      <c r="E1" s="1968"/>
      <c r="F1" s="1968"/>
      <c r="G1" s="1968"/>
      <c r="H1" s="1968"/>
      <c r="I1" s="1968"/>
      <c r="J1" s="1968"/>
      <c r="K1" s="1968"/>
      <c r="L1" s="1968"/>
      <c r="M1" s="1968"/>
      <c r="N1" s="1968"/>
      <c r="O1" s="1968"/>
      <c r="P1" s="1968"/>
      <c r="Q1" s="1968"/>
      <c r="R1" s="1968"/>
      <c r="S1" s="1968"/>
      <c r="T1" s="1968"/>
      <c r="U1" s="1968"/>
      <c r="V1" s="1968"/>
      <c r="W1" s="1968"/>
      <c r="X1" s="1968"/>
      <c r="Y1" s="1968"/>
      <c r="Z1" s="1968"/>
      <c r="AA1" s="1072"/>
    </row>
    <row r="2" spans="1:27" ht="15.75">
      <c r="A2" s="1071"/>
      <c r="B2" s="1988" t="s">
        <v>2604</v>
      </c>
      <c r="C2" s="1968"/>
      <c r="D2" s="1968"/>
      <c r="E2" s="1968"/>
      <c r="F2" s="1968"/>
      <c r="G2" s="1968"/>
      <c r="H2" s="1968"/>
      <c r="I2" s="1968"/>
      <c r="J2" s="1968"/>
      <c r="K2" s="1968"/>
      <c r="L2" s="1968"/>
      <c r="M2" s="1968"/>
      <c r="N2" s="1968"/>
      <c r="O2" s="1968"/>
      <c r="P2" s="1968"/>
      <c r="Q2" s="1968"/>
      <c r="R2" s="1968"/>
      <c r="S2" s="1968"/>
      <c r="T2" s="1968"/>
      <c r="U2" s="1968"/>
      <c r="V2" s="1968"/>
      <c r="W2" s="1968"/>
      <c r="X2" s="1968"/>
      <c r="Y2" s="1968"/>
      <c r="Z2" s="1968"/>
      <c r="AA2" s="1072"/>
    </row>
    <row r="3" spans="1:27">
      <c r="A3" s="1071"/>
      <c r="B3" s="305"/>
      <c r="C3" s="305"/>
      <c r="D3" s="305"/>
      <c r="E3" s="305"/>
      <c r="F3" s="305"/>
      <c r="G3" s="305"/>
      <c r="H3" s="305"/>
      <c r="I3" s="305"/>
      <c r="J3" s="305"/>
      <c r="L3" s="305"/>
      <c r="M3" s="1072"/>
      <c r="N3" s="394">
        <v>2022</v>
      </c>
      <c r="O3" s="305"/>
      <c r="P3" s="305"/>
      <c r="Q3" s="305"/>
      <c r="R3" s="305"/>
      <c r="S3" s="305"/>
      <c r="T3" s="305"/>
      <c r="U3" s="1072"/>
      <c r="V3" s="1072"/>
      <c r="W3" s="1072"/>
      <c r="X3" s="1072"/>
      <c r="Y3" s="1072"/>
      <c r="Z3" s="1072"/>
      <c r="AA3" s="1072"/>
    </row>
    <row r="4" spans="1:27" ht="16.5" thickBot="1">
      <c r="A4" s="1071"/>
      <c r="B4" s="959"/>
      <c r="C4" s="959"/>
      <c r="D4" s="959"/>
      <c r="E4" s="1073"/>
      <c r="F4" s="1073"/>
      <c r="G4" s="1073"/>
      <c r="H4" s="1073"/>
      <c r="I4" s="1073"/>
      <c r="J4" s="1073"/>
      <c r="K4" s="1073"/>
      <c r="L4" s="1073"/>
      <c r="M4" s="1073"/>
      <c r="N4" s="1073"/>
      <c r="O4" s="1073"/>
      <c r="P4" s="1073"/>
      <c r="Q4" s="1073"/>
      <c r="R4" s="1073"/>
      <c r="S4" s="1043"/>
      <c r="T4" s="1073"/>
      <c r="U4" s="1072"/>
      <c r="V4" s="1072"/>
      <c r="W4" s="1072"/>
      <c r="X4" s="1072"/>
      <c r="Y4" s="1072"/>
      <c r="Z4" s="1072"/>
      <c r="AA4" s="1072"/>
    </row>
    <row r="5" spans="1:27" ht="16.5" customHeight="1" thickBot="1">
      <c r="A5" s="959"/>
      <c r="B5" s="964"/>
      <c r="C5" s="1068"/>
      <c r="D5" s="1069"/>
      <c r="E5" s="1969" t="s">
        <v>1169</v>
      </c>
      <c r="F5" s="1970"/>
      <c r="G5" s="1970"/>
      <c r="H5" s="1970"/>
      <c r="I5" s="1970"/>
      <c r="J5" s="1970"/>
      <c r="K5" s="1970"/>
      <c r="L5" s="1970"/>
      <c r="M5" s="1970"/>
      <c r="N5" s="1970"/>
      <c r="O5" s="1970"/>
      <c r="P5" s="1970"/>
      <c r="Q5" s="1970"/>
      <c r="R5" s="1970"/>
      <c r="S5" s="1970"/>
      <c r="T5" s="1991"/>
      <c r="U5" s="1991"/>
      <c r="V5" s="1991"/>
      <c r="W5" s="1991"/>
      <c r="X5" s="1991"/>
      <c r="Y5" s="1991"/>
      <c r="Z5" s="1992"/>
    </row>
    <row r="6" spans="1:27" ht="16.5" thickBot="1">
      <c r="A6" s="959"/>
      <c r="B6" s="967" t="s">
        <v>702</v>
      </c>
      <c r="C6" s="959"/>
      <c r="D6" s="959"/>
      <c r="E6" s="1045" t="s">
        <v>1091</v>
      </c>
      <c r="F6" s="1049" t="s">
        <v>1092</v>
      </c>
      <c r="G6" s="1050" t="s">
        <v>1093</v>
      </c>
      <c r="H6" s="1050" t="s">
        <v>1094</v>
      </c>
      <c r="I6" s="1050" t="s">
        <v>1095</v>
      </c>
      <c r="J6" s="1050" t="s">
        <v>1096</v>
      </c>
      <c r="K6" s="1050" t="s">
        <v>1097</v>
      </c>
      <c r="L6" s="1050" t="s">
        <v>1098</v>
      </c>
      <c r="M6" s="1050" t="s">
        <v>1099</v>
      </c>
      <c r="N6" s="1050" t="s">
        <v>1100</v>
      </c>
      <c r="O6" s="1050" t="s">
        <v>1101</v>
      </c>
      <c r="P6" s="1050" t="s">
        <v>1102</v>
      </c>
      <c r="Q6" s="1050" t="s">
        <v>1103</v>
      </c>
      <c r="R6" s="1050" t="s">
        <v>1104</v>
      </c>
      <c r="S6" s="1050" t="s">
        <v>1105</v>
      </c>
      <c r="T6" s="1050" t="s">
        <v>1106</v>
      </c>
      <c r="U6" s="1050" t="s">
        <v>1107</v>
      </c>
      <c r="V6" s="1050" t="s">
        <v>1108</v>
      </c>
      <c r="W6" s="1050" t="s">
        <v>1572</v>
      </c>
      <c r="X6" s="1050" t="s">
        <v>1796</v>
      </c>
      <c r="Y6" s="1050" t="s">
        <v>1816</v>
      </c>
      <c r="Z6" s="971" t="s">
        <v>1109</v>
      </c>
      <c r="AA6" s="959"/>
    </row>
    <row r="7" spans="1:27" ht="49.5" customHeight="1">
      <c r="A7" s="959"/>
      <c r="B7" s="973" t="s">
        <v>1115</v>
      </c>
      <c r="C7" s="973"/>
      <c r="D7" s="1051"/>
      <c r="E7" s="1052" t="s">
        <v>2</v>
      </c>
      <c r="F7" s="975" t="s">
        <v>2336</v>
      </c>
      <c r="G7" s="976" t="s">
        <v>2337</v>
      </c>
      <c r="H7" s="976" t="s">
        <v>2338</v>
      </c>
      <c r="I7" s="976" t="s">
        <v>2339</v>
      </c>
      <c r="J7" s="976" t="s">
        <v>2340</v>
      </c>
      <c r="K7" s="976" t="s">
        <v>2341</v>
      </c>
      <c r="L7" s="976" t="s">
        <v>2342</v>
      </c>
      <c r="M7" s="976" t="s">
        <v>2343</v>
      </c>
      <c r="N7" s="976" t="s">
        <v>2344</v>
      </c>
      <c r="O7" s="976" t="s">
        <v>2345</v>
      </c>
      <c r="P7" s="976" t="s">
        <v>2346</v>
      </c>
      <c r="Q7" s="976" t="s">
        <v>2424</v>
      </c>
      <c r="R7" s="976" t="s">
        <v>2348</v>
      </c>
      <c r="S7" s="976" t="s">
        <v>2349</v>
      </c>
      <c r="T7" s="976" t="s">
        <v>2350</v>
      </c>
      <c r="U7" s="976" t="s">
        <v>2351</v>
      </c>
      <c r="V7" s="976" t="s">
        <v>2352</v>
      </c>
      <c r="W7" s="976" t="s">
        <v>2353</v>
      </c>
      <c r="X7" s="976" t="s">
        <v>2354</v>
      </c>
      <c r="Y7" s="976"/>
      <c r="Z7" s="1053"/>
      <c r="AA7" s="959"/>
    </row>
    <row r="8" spans="1:27" ht="15.75">
      <c r="A8" s="959"/>
      <c r="B8" s="979" t="s">
        <v>1120</v>
      </c>
      <c r="C8" s="979"/>
      <c r="D8" s="1054"/>
      <c r="E8" s="1055" t="s">
        <v>1121</v>
      </c>
      <c r="F8" s="981" t="s">
        <v>1122</v>
      </c>
      <c r="G8" s="977" t="s">
        <v>1122</v>
      </c>
      <c r="H8" s="977" t="s">
        <v>1122</v>
      </c>
      <c r="I8" s="977" t="s">
        <v>1122</v>
      </c>
      <c r="J8" s="977" t="s">
        <v>1122</v>
      </c>
      <c r="K8" s="977" t="s">
        <v>1122</v>
      </c>
      <c r="L8" s="977" t="s">
        <v>1122</v>
      </c>
      <c r="M8" s="977" t="s">
        <v>1122</v>
      </c>
      <c r="N8" s="977" t="s">
        <v>1122</v>
      </c>
      <c r="O8" s="977" t="s">
        <v>1122</v>
      </c>
      <c r="P8" s="977" t="s">
        <v>1122</v>
      </c>
      <c r="Q8" s="977" t="s">
        <v>1122</v>
      </c>
      <c r="R8" s="977" t="s">
        <v>1122</v>
      </c>
      <c r="S8" s="977" t="s">
        <v>1122</v>
      </c>
      <c r="T8" s="977" t="s">
        <v>1122</v>
      </c>
      <c r="U8" s="977" t="s">
        <v>1122</v>
      </c>
      <c r="V8" s="977" t="s">
        <v>1122</v>
      </c>
      <c r="W8" s="977" t="s">
        <v>1122</v>
      </c>
      <c r="X8" s="977" t="s">
        <v>1122</v>
      </c>
      <c r="Y8" s="977"/>
      <c r="Z8" s="1056" t="s">
        <v>1123</v>
      </c>
      <c r="AA8" s="959"/>
    </row>
    <row r="9" spans="1:27" ht="16.5" thickBot="1">
      <c r="A9" s="959"/>
      <c r="B9" s="983" t="s">
        <v>1126</v>
      </c>
      <c r="C9" s="1057" t="s">
        <v>1170</v>
      </c>
      <c r="D9" s="1057" t="s">
        <v>1171</v>
      </c>
      <c r="E9" s="1058" t="s">
        <v>1175</v>
      </c>
      <c r="F9" s="984" t="s">
        <v>2355</v>
      </c>
      <c r="G9" s="985" t="s">
        <v>2356</v>
      </c>
      <c r="H9" s="985" t="s">
        <v>2357</v>
      </c>
      <c r="I9" s="985" t="s">
        <v>2358</v>
      </c>
      <c r="J9" s="985" t="s">
        <v>2359</v>
      </c>
      <c r="K9" s="985" t="s">
        <v>2360</v>
      </c>
      <c r="L9" s="985" t="s">
        <v>2361</v>
      </c>
      <c r="M9" s="985" t="s">
        <v>2362</v>
      </c>
      <c r="N9" s="985" t="s">
        <v>2363</v>
      </c>
      <c r="O9" s="985" t="s">
        <v>2364</v>
      </c>
      <c r="P9" s="985" t="s">
        <v>2365</v>
      </c>
      <c r="Q9" s="985" t="s">
        <v>2425</v>
      </c>
      <c r="R9" s="985" t="s">
        <v>2367</v>
      </c>
      <c r="S9" s="985" t="s">
        <v>2368</v>
      </c>
      <c r="T9" s="985" t="s">
        <v>2369</v>
      </c>
      <c r="U9" s="985" t="s">
        <v>2370</v>
      </c>
      <c r="V9" s="985" t="s">
        <v>2371</v>
      </c>
      <c r="W9" s="985" t="s">
        <v>2372</v>
      </c>
      <c r="X9" s="985" t="s">
        <v>2373</v>
      </c>
      <c r="Y9" s="985"/>
      <c r="Z9" s="1059"/>
      <c r="AA9" s="959"/>
    </row>
    <row r="10" spans="1:27" ht="15.75">
      <c r="A10" s="959"/>
      <c r="B10" s="967" t="s">
        <v>976</v>
      </c>
      <c r="C10" s="1060">
        <v>3</v>
      </c>
      <c r="D10" s="1512">
        <v>0.75</v>
      </c>
      <c r="E10" s="993">
        <v>8514.2780000000002</v>
      </c>
      <c r="F10" s="1061">
        <v>4.907</v>
      </c>
      <c r="G10" s="1062">
        <v>3.0459999999999998</v>
      </c>
      <c r="H10" s="1062">
        <v>30.16</v>
      </c>
      <c r="I10" s="1062">
        <v>0</v>
      </c>
      <c r="J10" s="1062">
        <v>0</v>
      </c>
      <c r="K10" s="1062">
        <v>3.5999999999999997E-2</v>
      </c>
      <c r="L10" s="1062">
        <v>0.11600000000000001</v>
      </c>
      <c r="M10" s="1062">
        <v>8.9999999999999993E-3</v>
      </c>
      <c r="N10" s="1062">
        <v>16.015999999999998</v>
      </c>
      <c r="O10" s="1062">
        <v>16.263999999999999</v>
      </c>
      <c r="P10" s="1062">
        <v>10.404</v>
      </c>
      <c r="Q10" s="1062">
        <v>46.68</v>
      </c>
      <c r="R10" s="1062">
        <v>5.0000000000000001E-3</v>
      </c>
      <c r="S10" s="1062">
        <v>8.0000000000000002E-3</v>
      </c>
      <c r="T10" s="1062">
        <v>33.667999999999999</v>
      </c>
      <c r="U10" s="1062">
        <v>1.113</v>
      </c>
      <c r="V10" s="1062">
        <v>277.61399999999998</v>
      </c>
      <c r="W10" s="1062">
        <v>127.063</v>
      </c>
      <c r="X10" s="1062">
        <v>2.6230000000000002</v>
      </c>
      <c r="Y10" s="994"/>
      <c r="Z10" s="991">
        <f t="shared" ref="Z10:Z21" si="0">SUM(F10:Y10)</f>
        <v>569.73199999999997</v>
      </c>
      <c r="AA10" s="959"/>
    </row>
    <row r="11" spans="1:27" ht="15.75">
      <c r="A11" s="959"/>
      <c r="B11" s="967" t="s">
        <v>977</v>
      </c>
      <c r="C11" s="1060">
        <v>23</v>
      </c>
      <c r="D11" s="1512">
        <v>0.33333333333333331</v>
      </c>
      <c r="E11" s="993">
        <v>8804.5239999999994</v>
      </c>
      <c r="F11" s="1063">
        <v>6.7789999999999999</v>
      </c>
      <c r="G11" s="994">
        <v>3.4630000000000001</v>
      </c>
      <c r="H11" s="994">
        <v>39.658999999999999</v>
      </c>
      <c r="I11" s="994">
        <v>1.6830000000000001</v>
      </c>
      <c r="J11" s="994">
        <v>0</v>
      </c>
      <c r="K11" s="994">
        <v>0</v>
      </c>
      <c r="L11" s="994">
        <v>0</v>
      </c>
      <c r="M11" s="994">
        <v>8.9999999999999993E-3</v>
      </c>
      <c r="N11" s="994">
        <v>21.512</v>
      </c>
      <c r="O11" s="994">
        <v>16.739999999999998</v>
      </c>
      <c r="P11" s="994">
        <v>12.03</v>
      </c>
      <c r="Q11" s="994">
        <v>56.37</v>
      </c>
      <c r="R11" s="994">
        <v>5.0000000000000001E-3</v>
      </c>
      <c r="S11" s="994">
        <v>6.0000000000000001E-3</v>
      </c>
      <c r="T11" s="994">
        <v>34.396999999999998</v>
      </c>
      <c r="U11" s="994">
        <v>0.76400000000000001</v>
      </c>
      <c r="V11" s="994">
        <v>341.07100000000003</v>
      </c>
      <c r="W11" s="994">
        <v>124.04400000000001</v>
      </c>
      <c r="X11" s="994">
        <v>2.5209999999999999</v>
      </c>
      <c r="Y11" s="994"/>
      <c r="Z11" s="991">
        <f t="shared" si="0"/>
        <v>661.053</v>
      </c>
      <c r="AA11" s="959"/>
    </row>
    <row r="12" spans="1:27" ht="15.75">
      <c r="A12" s="959"/>
      <c r="B12" s="967" t="s">
        <v>795</v>
      </c>
      <c r="C12" s="1060">
        <v>10</v>
      </c>
      <c r="D12" s="1512">
        <v>0.33333333333333331</v>
      </c>
      <c r="E12" s="993">
        <v>8248.5550000000003</v>
      </c>
      <c r="F12" s="1063">
        <v>6.548</v>
      </c>
      <c r="G12" s="994">
        <v>3.1219999999999999</v>
      </c>
      <c r="H12" s="994">
        <v>31.396999999999998</v>
      </c>
      <c r="I12" s="994">
        <v>1.3959999999999999</v>
      </c>
      <c r="J12" s="994">
        <v>0</v>
      </c>
      <c r="K12" s="994">
        <v>0</v>
      </c>
      <c r="L12" s="994">
        <v>0</v>
      </c>
      <c r="M12" s="994">
        <v>8.9999999999999993E-3</v>
      </c>
      <c r="N12" s="994">
        <v>24.39</v>
      </c>
      <c r="O12" s="994">
        <v>16.260000000000002</v>
      </c>
      <c r="P12" s="994">
        <v>11.048999999999999</v>
      </c>
      <c r="Q12" s="994">
        <v>50.66</v>
      </c>
      <c r="R12" s="994">
        <v>5.0000000000000001E-3</v>
      </c>
      <c r="S12" s="994">
        <v>8.0000000000000002E-3</v>
      </c>
      <c r="T12" s="994">
        <v>34.024999999999999</v>
      </c>
      <c r="U12" s="994">
        <v>0.73</v>
      </c>
      <c r="V12" s="994">
        <v>334.27499999999998</v>
      </c>
      <c r="W12" s="994">
        <v>116.708</v>
      </c>
      <c r="X12" s="994">
        <v>2.5750000000000002</v>
      </c>
      <c r="Y12" s="994"/>
      <c r="Z12" s="991">
        <f t="shared" si="0"/>
        <v>633.15700000000004</v>
      </c>
      <c r="AA12" s="959"/>
    </row>
    <row r="13" spans="1:27" ht="15.75">
      <c r="A13" s="959"/>
      <c r="B13" s="967" t="s">
        <v>796</v>
      </c>
      <c r="C13" s="1060">
        <v>13</v>
      </c>
      <c r="D13" s="1512">
        <v>0.375</v>
      </c>
      <c r="E13" s="993">
        <v>7819.0519999999997</v>
      </c>
      <c r="F13" s="1063">
        <v>6.069</v>
      </c>
      <c r="G13" s="994">
        <v>3.09</v>
      </c>
      <c r="H13" s="994">
        <v>24.841999999999999</v>
      </c>
      <c r="I13" s="994">
        <v>1.1519999999999999</v>
      </c>
      <c r="J13" s="994">
        <v>0.502</v>
      </c>
      <c r="K13" s="994">
        <v>0</v>
      </c>
      <c r="L13" s="994">
        <v>0</v>
      </c>
      <c r="M13" s="994">
        <v>8.9999999999999993E-3</v>
      </c>
      <c r="N13" s="994">
        <v>18.321000000000002</v>
      </c>
      <c r="O13" s="994">
        <v>16.253</v>
      </c>
      <c r="P13" s="994">
        <v>10.680999999999999</v>
      </c>
      <c r="Q13" s="994">
        <v>45.72</v>
      </c>
      <c r="R13" s="994">
        <v>0.378</v>
      </c>
      <c r="S13" s="994">
        <v>1.4E-2</v>
      </c>
      <c r="T13" s="994">
        <v>33.960999999999999</v>
      </c>
      <c r="U13" s="994">
        <v>0.78900000000000003</v>
      </c>
      <c r="V13" s="994">
        <v>238.333</v>
      </c>
      <c r="W13" s="994">
        <v>94.516999999999996</v>
      </c>
      <c r="X13" s="994">
        <v>2.0710000000000002</v>
      </c>
      <c r="Y13" s="994"/>
      <c r="Z13" s="991">
        <f t="shared" si="0"/>
        <v>496.702</v>
      </c>
      <c r="AA13" s="959"/>
    </row>
    <row r="14" spans="1:27" ht="15.75">
      <c r="A14" s="998"/>
      <c r="B14" s="967" t="s">
        <v>797</v>
      </c>
      <c r="C14" s="1060">
        <v>26</v>
      </c>
      <c r="D14" s="1512">
        <v>0.70833333333333337</v>
      </c>
      <c r="E14" s="993">
        <v>8134.5219999999999</v>
      </c>
      <c r="F14" s="1063">
        <v>5.202</v>
      </c>
      <c r="G14" s="994">
        <v>2.93</v>
      </c>
      <c r="H14" s="994">
        <v>10.941000000000001</v>
      </c>
      <c r="I14" s="994">
        <v>0.45500000000000002</v>
      </c>
      <c r="J14" s="994">
        <v>0.50800000000000001</v>
      </c>
      <c r="K14" s="994">
        <v>0</v>
      </c>
      <c r="L14" s="994">
        <v>0</v>
      </c>
      <c r="M14" s="994">
        <v>6.0000000000000001E-3</v>
      </c>
      <c r="N14" s="994">
        <v>13.176</v>
      </c>
      <c r="O14" s="994">
        <v>17.991</v>
      </c>
      <c r="P14" s="994">
        <v>9.7620000000000005</v>
      </c>
      <c r="Q14" s="994">
        <v>35.049999999999997</v>
      </c>
      <c r="R14" s="994">
        <v>0.52600000000000002</v>
      </c>
      <c r="S14" s="994">
        <v>2.7519999999999998</v>
      </c>
      <c r="T14" s="994">
        <v>34.432000000000002</v>
      </c>
      <c r="U14" s="994">
        <v>0.79600000000000004</v>
      </c>
      <c r="V14" s="994">
        <v>134.81</v>
      </c>
      <c r="W14" s="994">
        <v>92.491</v>
      </c>
      <c r="X14" s="994">
        <v>2.149</v>
      </c>
      <c r="Y14" s="994"/>
      <c r="Z14" s="991">
        <f t="shared" si="0"/>
        <v>363.97699999999998</v>
      </c>
      <c r="AA14" s="959"/>
    </row>
    <row r="15" spans="1:27" ht="15.75">
      <c r="A15" s="959"/>
      <c r="B15" s="967" t="s">
        <v>980</v>
      </c>
      <c r="C15" s="1060">
        <v>27</v>
      </c>
      <c r="D15" s="1512">
        <v>0.75</v>
      </c>
      <c r="E15" s="993">
        <v>10215.758</v>
      </c>
      <c r="F15" s="1063">
        <v>6.2919999999999998</v>
      </c>
      <c r="G15" s="994">
        <v>3.492</v>
      </c>
      <c r="H15" s="994">
        <v>18.391999999999999</v>
      </c>
      <c r="I15" s="994">
        <v>0.36299999999999999</v>
      </c>
      <c r="J15" s="994">
        <v>5.6000000000000001E-2</v>
      </c>
      <c r="K15" s="994">
        <v>0</v>
      </c>
      <c r="L15" s="994">
        <v>0</v>
      </c>
      <c r="M15" s="994">
        <v>0.71199999999999997</v>
      </c>
      <c r="N15" s="994">
        <v>16.905999999999999</v>
      </c>
      <c r="O15" s="994">
        <v>20.059000000000001</v>
      </c>
      <c r="P15" s="994">
        <v>10.379</v>
      </c>
      <c r="Q15" s="994">
        <v>46.74</v>
      </c>
      <c r="R15" s="994">
        <v>0.52900000000000003</v>
      </c>
      <c r="S15" s="994">
        <v>3.08</v>
      </c>
      <c r="T15" s="994">
        <v>34.228999999999999</v>
      </c>
      <c r="U15" s="994">
        <v>0.93500000000000005</v>
      </c>
      <c r="V15" s="994">
        <v>182.68299999999999</v>
      </c>
      <c r="W15" s="994">
        <v>105.239</v>
      </c>
      <c r="X15" s="994">
        <v>2.1760000000000002</v>
      </c>
      <c r="Y15" s="994"/>
      <c r="Z15" s="991">
        <f t="shared" si="0"/>
        <v>452.262</v>
      </c>
      <c r="AA15" s="959"/>
    </row>
    <row r="16" spans="1:27" ht="15.75">
      <c r="A16" s="959"/>
      <c r="B16" s="967" t="s">
        <v>1131</v>
      </c>
      <c r="C16" s="1060">
        <v>28</v>
      </c>
      <c r="D16" s="1512">
        <v>0.70833333333333337</v>
      </c>
      <c r="E16" s="993">
        <v>11014.709000000001</v>
      </c>
      <c r="F16" s="1063">
        <v>5.7519999999999998</v>
      </c>
      <c r="G16" s="994">
        <v>4.1239999999999997</v>
      </c>
      <c r="H16" s="994">
        <v>18.673999999999999</v>
      </c>
      <c r="I16" s="994">
        <v>0.61499999999999999</v>
      </c>
      <c r="J16" s="994">
        <v>0.52300000000000002</v>
      </c>
      <c r="K16" s="994">
        <v>0</v>
      </c>
      <c r="L16" s="994">
        <v>0</v>
      </c>
      <c r="M16" s="994">
        <v>1.331</v>
      </c>
      <c r="N16" s="994">
        <v>16.187000000000001</v>
      </c>
      <c r="O16" s="994">
        <v>22.6</v>
      </c>
      <c r="P16" s="994">
        <v>11.993</v>
      </c>
      <c r="Q16" s="994">
        <v>56.05</v>
      </c>
      <c r="R16" s="994">
        <v>0.59399999999999997</v>
      </c>
      <c r="S16" s="994">
        <v>2.984</v>
      </c>
      <c r="T16" s="994">
        <v>34.728999999999999</v>
      </c>
      <c r="U16" s="994">
        <v>1.075</v>
      </c>
      <c r="V16" s="994">
        <v>197.054</v>
      </c>
      <c r="W16" s="994">
        <v>124.49199999999999</v>
      </c>
      <c r="X16" s="994">
        <v>2.2370000000000001</v>
      </c>
      <c r="Y16" s="994"/>
      <c r="Z16" s="991">
        <f t="shared" si="0"/>
        <v>501.01399999999995</v>
      </c>
      <c r="AA16" s="959"/>
    </row>
    <row r="17" spans="1:27" ht="15.75">
      <c r="A17" s="959"/>
      <c r="B17" s="967" t="s">
        <v>982</v>
      </c>
      <c r="C17" s="1060">
        <v>31</v>
      </c>
      <c r="D17" s="1512">
        <v>0.70833333333333337</v>
      </c>
      <c r="E17" s="993">
        <v>10623.478999999999</v>
      </c>
      <c r="F17" s="1063">
        <v>6.14</v>
      </c>
      <c r="G17" s="994">
        <v>3.456</v>
      </c>
      <c r="H17" s="994">
        <v>17.343</v>
      </c>
      <c r="I17" s="994">
        <v>0.32900000000000001</v>
      </c>
      <c r="J17" s="994">
        <v>0</v>
      </c>
      <c r="K17" s="994">
        <v>0</v>
      </c>
      <c r="L17" s="994">
        <v>0</v>
      </c>
      <c r="M17" s="994">
        <v>1.2629999999999999</v>
      </c>
      <c r="N17" s="994">
        <v>17.838000000000001</v>
      </c>
      <c r="O17" s="994">
        <v>21.329000000000001</v>
      </c>
      <c r="P17" s="994">
        <v>12.249000000000001</v>
      </c>
      <c r="Q17" s="994">
        <v>61.4</v>
      </c>
      <c r="R17" s="994">
        <v>0.51700000000000002</v>
      </c>
      <c r="S17" s="994">
        <v>2.94</v>
      </c>
      <c r="T17" s="994">
        <v>34.292000000000002</v>
      </c>
      <c r="U17" s="994">
        <v>1.0429999999999999</v>
      </c>
      <c r="V17" s="994">
        <v>155.346</v>
      </c>
      <c r="W17" s="994">
        <v>127.133</v>
      </c>
      <c r="X17" s="994">
        <v>2.7149999999999999</v>
      </c>
      <c r="Y17" s="994"/>
      <c r="Z17" s="991">
        <f t="shared" si="0"/>
        <v>465.33299999999997</v>
      </c>
      <c r="AA17" s="959"/>
    </row>
    <row r="18" spans="1:27" ht="15.75">
      <c r="A18" s="959"/>
      <c r="B18" s="967" t="s">
        <v>1132</v>
      </c>
      <c r="C18" s="1060">
        <v>6</v>
      </c>
      <c r="D18" s="1512">
        <v>0.70833333333333337</v>
      </c>
      <c r="E18" s="993">
        <v>10593.012000000001</v>
      </c>
      <c r="F18" s="1063">
        <v>5.3470000000000004</v>
      </c>
      <c r="G18" s="994">
        <v>3.577</v>
      </c>
      <c r="H18" s="994">
        <v>15.286</v>
      </c>
      <c r="I18" s="994">
        <v>0.29899999999999999</v>
      </c>
      <c r="J18" s="994">
        <v>0.19600000000000001</v>
      </c>
      <c r="K18" s="994">
        <v>0</v>
      </c>
      <c r="L18" s="994">
        <v>0</v>
      </c>
      <c r="M18" s="994">
        <v>1.1619999999999999</v>
      </c>
      <c r="N18" s="994">
        <v>16.076000000000001</v>
      </c>
      <c r="O18" s="994">
        <v>19.919</v>
      </c>
      <c r="P18" s="994">
        <v>11.416</v>
      </c>
      <c r="Q18" s="994">
        <v>56.55</v>
      </c>
      <c r="R18" s="994">
        <v>0.35299999999999998</v>
      </c>
      <c r="S18" s="994">
        <v>2.9980000000000002</v>
      </c>
      <c r="T18" s="994">
        <v>34.179000000000002</v>
      </c>
      <c r="U18" s="994">
        <v>1.0109999999999999</v>
      </c>
      <c r="V18" s="994">
        <v>155.48400000000001</v>
      </c>
      <c r="W18" s="994">
        <v>122.07300000000001</v>
      </c>
      <c r="X18" s="994">
        <v>2.738</v>
      </c>
      <c r="Y18" s="994"/>
      <c r="Z18" s="991">
        <f t="shared" si="0"/>
        <v>448.66399999999993</v>
      </c>
      <c r="AA18" s="959"/>
    </row>
    <row r="19" spans="1:27" ht="15.75">
      <c r="A19" s="959"/>
      <c r="B19" s="967" t="s">
        <v>984</v>
      </c>
      <c r="C19" s="1060">
        <v>6</v>
      </c>
      <c r="D19" s="1512">
        <v>0.70833333333333337</v>
      </c>
      <c r="E19" s="993">
        <v>7476.3530000000001</v>
      </c>
      <c r="F19" s="1063">
        <v>5.39</v>
      </c>
      <c r="G19" s="994">
        <v>3.024</v>
      </c>
      <c r="H19" s="994">
        <v>11.468999999999999</v>
      </c>
      <c r="I19" s="994">
        <v>0.29899999999999999</v>
      </c>
      <c r="J19" s="994">
        <v>0</v>
      </c>
      <c r="K19" s="994">
        <v>0</v>
      </c>
      <c r="L19" s="994">
        <v>0</v>
      </c>
      <c r="M19" s="994">
        <v>0.84099999999999997</v>
      </c>
      <c r="N19" s="994">
        <v>11.929</v>
      </c>
      <c r="O19" s="994">
        <v>19.327000000000002</v>
      </c>
      <c r="P19" s="994">
        <v>8.4480000000000004</v>
      </c>
      <c r="Q19" s="994">
        <v>31.27</v>
      </c>
      <c r="R19" s="994">
        <v>0.439</v>
      </c>
      <c r="S19" s="994">
        <v>0.80200000000000005</v>
      </c>
      <c r="T19" s="994">
        <v>33.768000000000001</v>
      </c>
      <c r="U19" s="994">
        <v>0.85399999999999998</v>
      </c>
      <c r="V19" s="994">
        <v>108.88</v>
      </c>
      <c r="W19" s="994">
        <v>87.174000000000007</v>
      </c>
      <c r="X19" s="994">
        <v>1.7010000000000001</v>
      </c>
      <c r="Y19" s="994"/>
      <c r="Z19" s="991">
        <f t="shared" si="0"/>
        <v>325.61500000000001</v>
      </c>
      <c r="AA19" s="959"/>
    </row>
    <row r="20" spans="1:27" ht="15.75">
      <c r="A20" s="959"/>
      <c r="B20" s="967" t="s">
        <v>985</v>
      </c>
      <c r="C20" s="1060">
        <v>29</v>
      </c>
      <c r="D20" s="1512">
        <v>0.75</v>
      </c>
      <c r="E20" s="993">
        <v>8447.241</v>
      </c>
      <c r="F20" s="1063">
        <v>5.7619999999999996</v>
      </c>
      <c r="G20" s="994">
        <v>2.9849999999999999</v>
      </c>
      <c r="H20" s="994">
        <v>27.5</v>
      </c>
      <c r="I20" s="994">
        <v>1.05</v>
      </c>
      <c r="J20" s="994">
        <v>0.35699999999999998</v>
      </c>
      <c r="K20" s="994">
        <v>0.20300000000000001</v>
      </c>
      <c r="L20" s="994">
        <v>0.13600000000000001</v>
      </c>
      <c r="M20" s="994">
        <v>0.01</v>
      </c>
      <c r="N20" s="994">
        <v>15.282999999999999</v>
      </c>
      <c r="O20" s="994">
        <v>16.969000000000001</v>
      </c>
      <c r="P20" s="994">
        <v>11.348000000000001</v>
      </c>
      <c r="Q20" s="994">
        <v>50.44</v>
      </c>
      <c r="R20" s="994">
        <v>0</v>
      </c>
      <c r="S20" s="994">
        <v>1.2999999999999999E-2</v>
      </c>
      <c r="T20" s="994">
        <v>33.747999999999998</v>
      </c>
      <c r="U20" s="994">
        <v>0.68200000000000005</v>
      </c>
      <c r="V20" s="994">
        <v>296.005</v>
      </c>
      <c r="W20" s="994">
        <v>107.87700000000001</v>
      </c>
      <c r="X20" s="994">
        <v>2.2090000000000001</v>
      </c>
      <c r="Y20" s="994"/>
      <c r="Z20" s="991">
        <f t="shared" si="0"/>
        <v>572.57699999999988</v>
      </c>
      <c r="AA20" s="959"/>
    </row>
    <row r="21" spans="1:27" ht="16.5" thickBot="1">
      <c r="A21" s="959"/>
      <c r="B21" s="983" t="s">
        <v>986</v>
      </c>
      <c r="C21" s="1060">
        <v>22</v>
      </c>
      <c r="D21" s="1512">
        <v>0.75</v>
      </c>
      <c r="E21" s="993">
        <v>9022.8950000000004</v>
      </c>
      <c r="F21" s="1064">
        <v>6.548</v>
      </c>
      <c r="G21" s="1601">
        <v>3.0310000000000001</v>
      </c>
      <c r="H21" s="1601">
        <v>40.118000000000002</v>
      </c>
      <c r="I21" s="1601">
        <v>1.6839999999999999</v>
      </c>
      <c r="J21" s="1601">
        <v>0.23499999999999999</v>
      </c>
      <c r="K21" s="1601">
        <v>0.28699999999999998</v>
      </c>
      <c r="L21" s="1601">
        <v>0.13600000000000001</v>
      </c>
      <c r="M21" s="1601">
        <v>1.0999999999999999E-2</v>
      </c>
      <c r="N21" s="1601">
        <v>19.402000000000001</v>
      </c>
      <c r="O21" s="1601">
        <v>17.213000000000001</v>
      </c>
      <c r="P21" s="1601">
        <v>13.430999999999999</v>
      </c>
      <c r="Q21" s="1601">
        <v>63.89</v>
      </c>
      <c r="R21" s="1601">
        <v>0</v>
      </c>
      <c r="S21" s="1601">
        <v>1.2999999999999999E-2</v>
      </c>
      <c r="T21" s="1601">
        <v>34.54</v>
      </c>
      <c r="U21" s="1601">
        <v>0.623</v>
      </c>
      <c r="V21" s="1601">
        <v>374.83699999999999</v>
      </c>
      <c r="W21" s="1601">
        <v>120.93600000000001</v>
      </c>
      <c r="X21" s="1601">
        <v>2.5459999999999998</v>
      </c>
      <c r="Y21" s="994"/>
      <c r="Z21" s="991">
        <f t="shared" si="0"/>
        <v>699.48100000000011</v>
      </c>
      <c r="AA21" s="959"/>
    </row>
    <row r="22" spans="1:27" ht="16.5" thickBot="1">
      <c r="A22" s="959"/>
      <c r="B22" s="1002" t="s">
        <v>111</v>
      </c>
      <c r="C22" s="1065"/>
      <c r="D22" s="1066"/>
      <c r="E22" s="1003">
        <f>SUM(E10:E21)</f>
        <v>108914.37800000001</v>
      </c>
      <c r="F22" s="1510">
        <f>SUM(F10:F21)</f>
        <v>70.736000000000004</v>
      </c>
      <c r="G22" s="1511">
        <f>SUM(G10:G21)</f>
        <v>39.339999999999996</v>
      </c>
      <c r="H22" s="1511">
        <f t="shared" ref="H22:X22" si="1">SUM(H10:H21)</f>
        <v>285.78100000000001</v>
      </c>
      <c r="I22" s="1511">
        <f t="shared" si="1"/>
        <v>9.3249999999999993</v>
      </c>
      <c r="J22" s="1511">
        <f t="shared" si="1"/>
        <v>2.3769999999999998</v>
      </c>
      <c r="K22" s="1511">
        <f t="shared" si="1"/>
        <v>0.52600000000000002</v>
      </c>
      <c r="L22" s="1511">
        <f t="shared" si="1"/>
        <v>0.38800000000000001</v>
      </c>
      <c r="M22" s="1511">
        <f t="shared" si="1"/>
        <v>5.3719999999999999</v>
      </c>
      <c r="N22" s="1511">
        <f t="shared" si="1"/>
        <v>207.036</v>
      </c>
      <c r="O22" s="1511">
        <f t="shared" si="1"/>
        <v>220.92400000000001</v>
      </c>
      <c r="P22" s="1511">
        <f t="shared" si="1"/>
        <v>133.18999999999997</v>
      </c>
      <c r="Q22" s="1511">
        <f t="shared" si="1"/>
        <v>600.81999999999994</v>
      </c>
      <c r="R22" s="1511">
        <f t="shared" si="1"/>
        <v>3.351</v>
      </c>
      <c r="S22" s="1511">
        <f t="shared" si="1"/>
        <v>15.617999999999999</v>
      </c>
      <c r="T22" s="1511">
        <f t="shared" si="1"/>
        <v>409.96799999999996</v>
      </c>
      <c r="U22" s="1511">
        <f t="shared" si="1"/>
        <v>10.414999999999999</v>
      </c>
      <c r="V22" s="1511">
        <f t="shared" si="1"/>
        <v>2796.3919999999998</v>
      </c>
      <c r="W22" s="1511">
        <f t="shared" si="1"/>
        <v>1349.7470000000001</v>
      </c>
      <c r="X22" s="1511">
        <f t="shared" si="1"/>
        <v>28.260999999999999</v>
      </c>
      <c r="Y22" s="1511"/>
      <c r="Z22" s="1003">
        <f>SUM(Z10:Z21)</f>
        <v>6189.567</v>
      </c>
      <c r="AA22" s="959"/>
    </row>
    <row r="23" spans="1:27" ht="15.75">
      <c r="A23" s="959"/>
      <c r="B23" s="959"/>
      <c r="C23" s="959"/>
      <c r="D23" s="959"/>
      <c r="E23" s="959"/>
      <c r="F23" s="959"/>
      <c r="G23" s="959"/>
      <c r="H23" s="959"/>
      <c r="I23" s="959"/>
      <c r="J23" s="959"/>
      <c r="K23" s="959"/>
      <c r="L23" s="959"/>
      <c r="M23" s="959"/>
      <c r="N23" s="959"/>
      <c r="O23" s="959"/>
      <c r="P23" s="959"/>
      <c r="Q23" s="959"/>
      <c r="R23" s="959"/>
      <c r="S23" s="959"/>
      <c r="T23" s="959"/>
      <c r="U23" s="959"/>
      <c r="V23" s="959"/>
      <c r="W23" s="959"/>
      <c r="X23" s="959"/>
      <c r="Y23" s="959"/>
      <c r="Z23" s="959"/>
    </row>
    <row r="24" spans="1:27" ht="15.75">
      <c r="A24" s="959"/>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row>
    <row r="25" spans="1:27" ht="16.5" thickBot="1">
      <c r="A25" s="959"/>
      <c r="B25" s="959"/>
      <c r="C25" s="959"/>
      <c r="D25" s="959"/>
      <c r="E25" s="959"/>
      <c r="F25" s="959"/>
      <c r="G25" s="959"/>
      <c r="H25" s="959"/>
      <c r="I25" s="959"/>
      <c r="J25" s="959"/>
      <c r="K25" s="959"/>
      <c r="L25" s="959"/>
      <c r="M25" s="959"/>
      <c r="N25" s="959"/>
      <c r="O25" s="959"/>
      <c r="P25" s="959"/>
      <c r="Q25" s="959"/>
      <c r="R25" s="959"/>
      <c r="S25" s="959"/>
      <c r="T25" s="959"/>
      <c r="U25" s="959"/>
      <c r="V25" s="959"/>
      <c r="W25" s="959"/>
      <c r="X25" s="959"/>
      <c r="Y25" s="959"/>
      <c r="Z25" s="959"/>
    </row>
    <row r="26" spans="1:27" ht="16.5" thickBot="1">
      <c r="A26" s="959"/>
      <c r="B26" s="964"/>
      <c r="C26" s="1068"/>
      <c r="D26" s="1069"/>
      <c r="E26" s="1979" t="s">
        <v>1090</v>
      </c>
      <c r="F26" s="1980"/>
      <c r="G26" s="1980"/>
      <c r="H26" s="1980"/>
      <c r="I26" s="1980"/>
      <c r="J26" s="1981"/>
      <c r="K26" s="959"/>
      <c r="L26" s="959"/>
      <c r="M26" s="959"/>
      <c r="N26" s="959"/>
      <c r="O26" s="959"/>
      <c r="P26" s="959"/>
      <c r="Q26" s="959"/>
      <c r="R26" s="959"/>
      <c r="S26" s="959"/>
      <c r="T26" s="959"/>
      <c r="U26" s="959"/>
      <c r="V26" s="959"/>
      <c r="W26" s="959"/>
      <c r="X26" s="959"/>
      <c r="Y26" s="959"/>
      <c r="Z26" s="959"/>
    </row>
    <row r="27" spans="1:27" ht="16.5" thickBot="1">
      <c r="A27" s="959"/>
      <c r="B27" s="983" t="s">
        <v>702</v>
      </c>
      <c r="C27" s="1048"/>
      <c r="D27" s="1070"/>
      <c r="E27" s="969" t="s">
        <v>1110</v>
      </c>
      <c r="F27" s="970" t="s">
        <v>1111</v>
      </c>
      <c r="G27" s="970" t="s">
        <v>1112</v>
      </c>
      <c r="H27" s="970" t="s">
        <v>1113</v>
      </c>
      <c r="I27" s="972" t="s">
        <v>1174</v>
      </c>
      <c r="J27" s="971" t="s">
        <v>1114</v>
      </c>
      <c r="K27" s="959"/>
      <c r="L27" s="959"/>
      <c r="M27" s="959"/>
      <c r="N27" s="959"/>
      <c r="O27" s="959"/>
      <c r="P27" s="959"/>
      <c r="Q27" s="959"/>
      <c r="R27" s="959"/>
      <c r="S27" s="959"/>
      <c r="T27" s="959"/>
      <c r="U27" s="959"/>
      <c r="V27" s="959"/>
      <c r="W27" s="959"/>
      <c r="X27" s="959"/>
      <c r="Y27" s="959"/>
      <c r="Z27" s="959"/>
    </row>
    <row r="28" spans="1:27" ht="47.25">
      <c r="A28" s="959"/>
      <c r="B28" s="973" t="s">
        <v>1115</v>
      </c>
      <c r="C28" s="973"/>
      <c r="D28" s="1051"/>
      <c r="E28" s="975" t="s">
        <v>1116</v>
      </c>
      <c r="F28" s="976" t="s">
        <v>1117</v>
      </c>
      <c r="G28" s="976" t="s">
        <v>1118</v>
      </c>
      <c r="H28" s="976" t="s">
        <v>1119</v>
      </c>
      <c r="I28" s="976"/>
      <c r="J28" s="978"/>
      <c r="K28" s="959"/>
      <c r="L28" s="959"/>
      <c r="M28" s="959"/>
      <c r="N28" s="959"/>
      <c r="O28" s="959"/>
      <c r="P28" s="959"/>
      <c r="Q28" s="959"/>
      <c r="R28" s="959"/>
      <c r="S28" s="959"/>
      <c r="T28" s="959"/>
      <c r="U28" s="959"/>
      <c r="V28" s="959"/>
      <c r="W28" s="959"/>
      <c r="X28" s="959"/>
      <c r="Y28" s="959"/>
      <c r="Z28" s="959"/>
    </row>
    <row r="29" spans="1:27" ht="15.75">
      <c r="A29" s="959"/>
      <c r="B29" s="979" t="s">
        <v>1120</v>
      </c>
      <c r="C29" s="979"/>
      <c r="D29" s="1054"/>
      <c r="E29" s="981" t="s">
        <v>1124</v>
      </c>
      <c r="F29" s="977" t="s">
        <v>1124</v>
      </c>
      <c r="G29" s="977" t="s">
        <v>1124</v>
      </c>
      <c r="H29" s="977" t="s">
        <v>1124</v>
      </c>
      <c r="I29" s="977"/>
      <c r="J29" s="978" t="s">
        <v>1125</v>
      </c>
      <c r="K29" s="959"/>
      <c r="L29" s="959"/>
      <c r="M29" s="959"/>
      <c r="N29" s="959"/>
      <c r="O29" s="959"/>
      <c r="P29" s="959"/>
      <c r="Q29" s="959"/>
      <c r="R29" s="959"/>
      <c r="S29" s="959"/>
      <c r="T29" s="959"/>
      <c r="U29" s="959"/>
      <c r="V29" s="959"/>
      <c r="W29" s="959"/>
      <c r="X29" s="959"/>
      <c r="Y29" s="959"/>
      <c r="Z29" s="959"/>
    </row>
    <row r="30" spans="1:27" ht="16.5" thickBot="1">
      <c r="A30" s="959"/>
      <c r="B30" s="983" t="s">
        <v>1126</v>
      </c>
      <c r="C30" s="1057" t="s">
        <v>1170</v>
      </c>
      <c r="D30" s="1057" t="s">
        <v>1171</v>
      </c>
      <c r="E30" s="984" t="s">
        <v>1127</v>
      </c>
      <c r="F30" s="985" t="s">
        <v>1128</v>
      </c>
      <c r="G30" s="985" t="s">
        <v>1129</v>
      </c>
      <c r="H30" s="985" t="s">
        <v>1130</v>
      </c>
      <c r="I30" s="985"/>
      <c r="J30" s="986"/>
      <c r="K30" s="959"/>
      <c r="L30" s="959"/>
      <c r="M30" s="959"/>
      <c r="N30" s="959"/>
      <c r="O30" s="959"/>
      <c r="P30" s="959"/>
      <c r="Q30" s="959"/>
      <c r="R30" s="959"/>
      <c r="S30" s="959"/>
      <c r="T30" s="959"/>
      <c r="U30" s="959"/>
      <c r="V30" s="959"/>
      <c r="W30" s="959"/>
      <c r="X30" s="959"/>
      <c r="Y30" s="959"/>
      <c r="Z30" s="959"/>
    </row>
    <row r="31" spans="1:27" ht="15.75">
      <c r="A31" s="959"/>
      <c r="B31" s="967" t="s">
        <v>976</v>
      </c>
      <c r="C31" s="1060">
        <f>C10</f>
        <v>3</v>
      </c>
      <c r="D31" s="1540">
        <f>D10</f>
        <v>0.75</v>
      </c>
      <c r="E31" s="988">
        <v>480.54899999999998</v>
      </c>
      <c r="F31" s="989">
        <v>62.493000000000002</v>
      </c>
      <c r="G31" s="989">
        <v>110.371</v>
      </c>
      <c r="H31" s="989">
        <v>279</v>
      </c>
      <c r="I31" s="990"/>
      <c r="J31" s="991">
        <f>SUM(E31:I31)</f>
        <v>932.41300000000001</v>
      </c>
      <c r="K31" s="959"/>
      <c r="L31" s="959"/>
      <c r="M31" s="959"/>
      <c r="N31" s="959"/>
      <c r="O31" s="959"/>
      <c r="P31" s="959"/>
      <c r="Q31" s="959"/>
      <c r="R31" s="1043"/>
      <c r="S31" s="959"/>
      <c r="T31" s="1044"/>
      <c r="U31" s="959"/>
      <c r="V31" s="959"/>
      <c r="W31" s="959"/>
      <c r="X31" s="959"/>
      <c r="Y31" s="959"/>
      <c r="Z31" s="959"/>
    </row>
    <row r="32" spans="1:27" ht="15.75">
      <c r="A32" s="959"/>
      <c r="B32" s="967" t="s">
        <v>977</v>
      </c>
      <c r="C32" s="1060">
        <f t="shared" ref="C32:D32" si="2">C11</f>
        <v>23</v>
      </c>
      <c r="D32" s="1540">
        <f t="shared" si="2"/>
        <v>0.33333333333333331</v>
      </c>
      <c r="E32" s="995">
        <v>441.96800000000002</v>
      </c>
      <c r="F32" s="996">
        <v>48.238</v>
      </c>
      <c r="G32" s="996">
        <v>79.438999999999993</v>
      </c>
      <c r="H32" s="996">
        <v>292</v>
      </c>
      <c r="I32" s="997"/>
      <c r="J32" s="991">
        <f t="shared" ref="J32:J42" si="3">SUM(E32:I32)</f>
        <v>861.64499999999998</v>
      </c>
      <c r="K32" s="959"/>
      <c r="L32" s="959"/>
      <c r="M32" s="959"/>
      <c r="N32" s="959"/>
      <c r="O32" s="959"/>
      <c r="P32" s="959"/>
      <c r="Q32" s="959"/>
      <c r="R32" s="1043"/>
      <c r="S32" s="959"/>
      <c r="T32" s="959"/>
      <c r="U32" s="959"/>
      <c r="V32" s="959"/>
      <c r="W32" s="959"/>
      <c r="X32" s="959"/>
      <c r="Y32" s="959"/>
      <c r="Z32" s="959"/>
    </row>
    <row r="33" spans="1:26" ht="15.75">
      <c r="A33" s="959"/>
      <c r="B33" s="967" t="s">
        <v>795</v>
      </c>
      <c r="C33" s="1060">
        <f t="shared" ref="C33:D33" si="4">C12</f>
        <v>10</v>
      </c>
      <c r="D33" s="1540">
        <f t="shared" si="4"/>
        <v>0.33333333333333331</v>
      </c>
      <c r="E33" s="995">
        <v>436.22999999999996</v>
      </c>
      <c r="F33" s="996">
        <v>46.103000000000002</v>
      </c>
      <c r="G33" s="996">
        <v>114.22799999999999</v>
      </c>
      <c r="H33" s="996">
        <v>288</v>
      </c>
      <c r="I33" s="997"/>
      <c r="J33" s="991">
        <f t="shared" si="3"/>
        <v>884.56099999999992</v>
      </c>
      <c r="K33" s="959"/>
      <c r="L33" s="959"/>
      <c r="M33" s="959"/>
      <c r="N33" s="959"/>
      <c r="O33" s="959"/>
      <c r="P33" s="959"/>
      <c r="Q33" s="959"/>
      <c r="R33" s="959"/>
      <c r="S33" s="959"/>
      <c r="T33" s="959"/>
      <c r="U33" s="959"/>
      <c r="V33" s="959"/>
      <c r="W33" s="959"/>
      <c r="X33" s="959"/>
      <c r="Y33" s="959"/>
      <c r="Z33" s="959"/>
    </row>
    <row r="34" spans="1:26" ht="15.75">
      <c r="A34" s="959"/>
      <c r="B34" s="967" t="s">
        <v>796</v>
      </c>
      <c r="C34" s="1060">
        <f t="shared" ref="C34:D34" si="5">C13</f>
        <v>13</v>
      </c>
      <c r="D34" s="1540">
        <f t="shared" si="5"/>
        <v>0.375</v>
      </c>
      <c r="E34" s="995">
        <v>430.613</v>
      </c>
      <c r="F34" s="996">
        <v>32.972000000000001</v>
      </c>
      <c r="G34" s="996">
        <v>108.486</v>
      </c>
      <c r="H34" s="996">
        <v>272</v>
      </c>
      <c r="I34" s="997"/>
      <c r="J34" s="991">
        <f t="shared" si="3"/>
        <v>844.07100000000003</v>
      </c>
      <c r="K34" s="959"/>
      <c r="L34" s="959"/>
      <c r="M34" s="959"/>
      <c r="N34" s="959"/>
      <c r="O34" s="959"/>
      <c r="P34" s="959"/>
      <c r="Q34" s="959"/>
      <c r="R34" s="1006"/>
      <c r="S34" s="959"/>
      <c r="T34" s="959"/>
      <c r="U34" s="959"/>
      <c r="V34" s="959"/>
      <c r="W34" s="959"/>
      <c r="X34" s="959"/>
      <c r="Y34" s="959"/>
      <c r="Z34" s="959"/>
    </row>
    <row r="35" spans="1:26" ht="15.75">
      <c r="A35" s="959"/>
      <c r="B35" s="967" t="s">
        <v>797</v>
      </c>
      <c r="C35" s="1060">
        <f t="shared" ref="C35:D35" si="6">C14</f>
        <v>26</v>
      </c>
      <c r="D35" s="1540">
        <f t="shared" si="6"/>
        <v>0.70833333333333337</v>
      </c>
      <c r="E35" s="995">
        <v>630.06500000000005</v>
      </c>
      <c r="F35" s="996">
        <v>86.784000000000006</v>
      </c>
      <c r="G35" s="996">
        <v>144.78399999999999</v>
      </c>
      <c r="H35" s="996">
        <v>291</v>
      </c>
      <c r="I35" s="997"/>
      <c r="J35" s="991">
        <f t="shared" si="3"/>
        <v>1152.633</v>
      </c>
      <c r="K35" s="959"/>
      <c r="L35" s="959"/>
      <c r="M35" s="959"/>
      <c r="N35" s="959"/>
      <c r="O35" s="959"/>
      <c r="P35" s="959"/>
      <c r="Q35" s="959"/>
      <c r="R35" s="1044"/>
      <c r="S35" s="959"/>
      <c r="T35" s="959"/>
      <c r="U35" s="959"/>
      <c r="V35" s="959"/>
      <c r="W35" s="959"/>
      <c r="X35" s="959"/>
      <c r="Y35" s="959"/>
      <c r="Z35" s="959"/>
    </row>
    <row r="36" spans="1:26" ht="15.75">
      <c r="A36" s="959"/>
      <c r="B36" s="967" t="s">
        <v>980</v>
      </c>
      <c r="C36" s="1060">
        <f t="shared" ref="C36:D36" si="7">C15</f>
        <v>27</v>
      </c>
      <c r="D36" s="1540">
        <f t="shared" si="7"/>
        <v>0.75</v>
      </c>
      <c r="E36" s="995">
        <v>785.86099999999999</v>
      </c>
      <c r="F36" s="996">
        <v>138.75800000000001</v>
      </c>
      <c r="G36" s="996">
        <v>160.554</v>
      </c>
      <c r="H36" s="996">
        <v>286</v>
      </c>
      <c r="I36" s="997"/>
      <c r="J36" s="991">
        <f t="shared" si="3"/>
        <v>1371.173</v>
      </c>
      <c r="K36" s="959"/>
      <c r="L36" s="959"/>
      <c r="M36" s="959"/>
      <c r="N36" s="959"/>
      <c r="O36" s="959"/>
      <c r="P36" s="959"/>
      <c r="Q36" s="959"/>
      <c r="R36" s="959"/>
      <c r="S36" s="959"/>
      <c r="T36" s="959"/>
      <c r="U36" s="959"/>
      <c r="V36" s="959"/>
      <c r="W36" s="959"/>
      <c r="X36" s="959"/>
      <c r="Y36" s="959"/>
      <c r="Z36" s="959"/>
    </row>
    <row r="37" spans="1:26" ht="15.75">
      <c r="A37" s="959"/>
      <c r="B37" s="967" t="s">
        <v>1131</v>
      </c>
      <c r="C37" s="1060">
        <f t="shared" ref="C37:D37" si="8">C16</f>
        <v>28</v>
      </c>
      <c r="D37" s="1540">
        <f t="shared" si="8"/>
        <v>0.70833333333333337</v>
      </c>
      <c r="E37" s="995">
        <v>852.80599999999993</v>
      </c>
      <c r="F37" s="996">
        <v>161.83799999999999</v>
      </c>
      <c r="G37" s="996">
        <v>155.89400000000001</v>
      </c>
      <c r="H37" s="996">
        <v>288</v>
      </c>
      <c r="I37" s="997"/>
      <c r="J37" s="991">
        <f t="shared" si="3"/>
        <v>1458.538</v>
      </c>
      <c r="K37" s="959"/>
      <c r="L37" s="959"/>
      <c r="M37" s="959"/>
      <c r="N37" s="959"/>
      <c r="O37" s="959"/>
      <c r="P37" s="959"/>
      <c r="Q37" s="959"/>
      <c r="R37" s="959"/>
      <c r="S37" s="959"/>
      <c r="T37" s="959"/>
      <c r="U37" s="959"/>
      <c r="V37" s="959"/>
      <c r="W37" s="959"/>
      <c r="X37" s="959"/>
      <c r="Y37" s="959"/>
      <c r="Z37" s="959"/>
    </row>
    <row r="38" spans="1:26" ht="15.75">
      <c r="A38" s="959"/>
      <c r="B38" s="967" t="s">
        <v>982</v>
      </c>
      <c r="C38" s="1060">
        <f t="shared" ref="C38:D38" si="9">C17</f>
        <v>31</v>
      </c>
      <c r="D38" s="1540">
        <f t="shared" si="9"/>
        <v>0.70833333333333337</v>
      </c>
      <c r="E38" s="995">
        <v>909.66499999999996</v>
      </c>
      <c r="F38" s="996">
        <v>170.113</v>
      </c>
      <c r="G38" s="996">
        <v>184.56299999999999</v>
      </c>
      <c r="H38" s="996">
        <v>283</v>
      </c>
      <c r="I38" s="997"/>
      <c r="J38" s="991">
        <f t="shared" si="3"/>
        <v>1547.3409999999999</v>
      </c>
      <c r="K38" s="959"/>
      <c r="L38" s="959"/>
      <c r="M38" s="959"/>
      <c r="N38" s="959"/>
      <c r="O38" s="959"/>
      <c r="P38" s="959"/>
      <c r="Q38" s="959"/>
      <c r="R38" s="959"/>
      <c r="S38" s="959"/>
      <c r="T38" s="959"/>
      <c r="U38" s="959"/>
      <c r="V38" s="959"/>
      <c r="W38" s="959"/>
      <c r="X38" s="959"/>
      <c r="Y38" s="959"/>
      <c r="Z38" s="959"/>
    </row>
    <row r="39" spans="1:26" ht="15.75">
      <c r="A39" s="959"/>
      <c r="B39" s="967" t="s">
        <v>1132</v>
      </c>
      <c r="C39" s="1060">
        <f t="shared" ref="C39:D39" si="10">C18</f>
        <v>6</v>
      </c>
      <c r="D39" s="1540">
        <f t="shared" si="10"/>
        <v>0.70833333333333337</v>
      </c>
      <c r="E39" s="995">
        <v>946.53300000000002</v>
      </c>
      <c r="F39" s="996">
        <v>182.499</v>
      </c>
      <c r="G39" s="996">
        <v>200.33500000000001</v>
      </c>
      <c r="H39" s="996">
        <v>283</v>
      </c>
      <c r="I39" s="997"/>
      <c r="J39" s="991">
        <f t="shared" si="3"/>
        <v>1612.367</v>
      </c>
      <c r="K39" s="959"/>
      <c r="L39" s="959"/>
      <c r="M39" s="959"/>
      <c r="N39" s="959"/>
      <c r="O39" s="959"/>
      <c r="P39" s="959"/>
      <c r="Q39" s="959"/>
      <c r="R39" s="959"/>
      <c r="S39" s="959"/>
      <c r="T39" s="959"/>
      <c r="U39" s="959"/>
      <c r="V39" s="959"/>
      <c r="W39" s="959"/>
      <c r="X39" s="959"/>
      <c r="Y39" s="959"/>
      <c r="Z39" s="959"/>
    </row>
    <row r="40" spans="1:26" ht="15.75">
      <c r="A40" s="959"/>
      <c r="B40" s="967" t="s">
        <v>984</v>
      </c>
      <c r="C40" s="1060">
        <f t="shared" ref="C40:D40" si="11">C19</f>
        <v>6</v>
      </c>
      <c r="D40" s="1540">
        <f t="shared" si="11"/>
        <v>0.70833333333333337</v>
      </c>
      <c r="E40" s="995">
        <v>496.43399999999997</v>
      </c>
      <c r="F40" s="996">
        <v>71.510000000000005</v>
      </c>
      <c r="G40" s="996">
        <v>112.886</v>
      </c>
      <c r="H40" s="996">
        <v>300</v>
      </c>
      <c r="I40" s="997"/>
      <c r="J40" s="991">
        <f t="shared" si="3"/>
        <v>980.82999999999993</v>
      </c>
      <c r="K40" s="959"/>
      <c r="L40" s="959"/>
      <c r="M40" s="959"/>
      <c r="N40" s="959"/>
      <c r="O40" s="959"/>
      <c r="P40" s="959"/>
      <c r="Q40" s="959"/>
      <c r="R40" s="959"/>
      <c r="S40" s="959"/>
      <c r="T40" s="959"/>
      <c r="U40" s="959"/>
      <c r="V40" s="959"/>
      <c r="W40" s="959"/>
      <c r="X40" s="959"/>
      <c r="Y40" s="959"/>
      <c r="Z40" s="959"/>
    </row>
    <row r="41" spans="1:26" ht="15.75">
      <c r="A41" s="959"/>
      <c r="B41" s="967" t="s">
        <v>985</v>
      </c>
      <c r="C41" s="1060">
        <f t="shared" ref="C41:D41" si="12">C20</f>
        <v>29</v>
      </c>
      <c r="D41" s="1540">
        <f t="shared" si="12"/>
        <v>0.75</v>
      </c>
      <c r="E41" s="995">
        <v>433.66699999999997</v>
      </c>
      <c r="F41" s="996">
        <v>64.644999999999996</v>
      </c>
      <c r="G41" s="996">
        <v>116.553</v>
      </c>
      <c r="H41" s="996">
        <v>318</v>
      </c>
      <c r="I41" s="997"/>
      <c r="J41" s="991">
        <f t="shared" si="3"/>
        <v>932.86500000000001</v>
      </c>
      <c r="K41" s="959"/>
      <c r="L41" s="959"/>
      <c r="M41" s="959"/>
      <c r="N41" s="959"/>
      <c r="O41" s="959"/>
      <c r="P41" s="959"/>
      <c r="Q41" s="959"/>
      <c r="R41" s="959"/>
      <c r="S41" s="959"/>
      <c r="T41" s="959"/>
      <c r="U41" s="959"/>
      <c r="V41" s="959"/>
      <c r="W41" s="959"/>
      <c r="X41" s="959"/>
      <c r="Y41" s="959"/>
      <c r="Z41" s="959"/>
    </row>
    <row r="42" spans="1:26" ht="16.5" thickBot="1">
      <c r="A42" s="959"/>
      <c r="B42" s="983" t="s">
        <v>986</v>
      </c>
      <c r="C42" s="1060">
        <f t="shared" ref="C42:D42" si="13">C21</f>
        <v>22</v>
      </c>
      <c r="D42" s="1540">
        <f t="shared" si="13"/>
        <v>0.75</v>
      </c>
      <c r="E42" s="999">
        <v>436.12099999999998</v>
      </c>
      <c r="F42" s="1000">
        <v>53.350999999999999</v>
      </c>
      <c r="G42" s="1000">
        <v>109.34399999999999</v>
      </c>
      <c r="H42" s="1000">
        <v>277</v>
      </c>
      <c r="I42" s="1001"/>
      <c r="J42" s="991">
        <f t="shared" si="3"/>
        <v>875.81600000000003</v>
      </c>
      <c r="K42" s="959"/>
      <c r="L42" s="959"/>
      <c r="M42" s="959"/>
      <c r="N42" s="959"/>
      <c r="O42" s="959"/>
      <c r="P42" s="959"/>
      <c r="Q42" s="959"/>
      <c r="R42" s="959"/>
      <c r="S42" s="959"/>
      <c r="T42" s="959"/>
      <c r="U42" s="959"/>
      <c r="V42" s="959"/>
      <c r="W42" s="959"/>
      <c r="X42" s="959"/>
      <c r="Y42" s="959"/>
      <c r="Z42" s="959"/>
    </row>
    <row r="43" spans="1:26" ht="16.5" thickBot="1">
      <c r="A43" s="959"/>
      <c r="B43" s="1002" t="s">
        <v>111</v>
      </c>
      <c r="C43" s="1065"/>
      <c r="D43" s="1066"/>
      <c r="E43" s="1039">
        <f>SUM(E31:E42)</f>
        <v>7280.5120000000006</v>
      </c>
      <c r="F43" s="1040">
        <f t="shared" ref="F43:H43" si="14">SUM(F31:F42)</f>
        <v>1119.3040000000001</v>
      </c>
      <c r="G43" s="1040">
        <f t="shared" si="14"/>
        <v>1597.4369999999999</v>
      </c>
      <c r="H43" s="1040">
        <f t="shared" si="14"/>
        <v>3457</v>
      </c>
      <c r="I43" s="1005">
        <v>0</v>
      </c>
      <c r="J43" s="1003">
        <f>SUM(J31:J42)</f>
        <v>13454.253000000001</v>
      </c>
      <c r="K43" s="959"/>
      <c r="L43" s="959"/>
      <c r="M43" s="959"/>
      <c r="N43" s="959"/>
      <c r="O43" s="959"/>
      <c r="P43" s="959"/>
      <c r="Q43" s="959"/>
      <c r="R43" s="959"/>
      <c r="S43" s="959"/>
      <c r="T43" s="959"/>
      <c r="U43" s="959"/>
      <c r="V43" s="959"/>
      <c r="W43" s="959"/>
      <c r="X43" s="959"/>
      <c r="Y43" s="959"/>
      <c r="Z43" s="959"/>
    </row>
  </sheetData>
  <mergeCells count="4">
    <mergeCell ref="E26:J26"/>
    <mergeCell ref="E5:Z5"/>
    <mergeCell ref="B1:Z1"/>
    <mergeCell ref="B2:Z2"/>
  </mergeCells>
  <phoneticPr fontId="135" type="noConversion"/>
  <pageMargins left="0.7" right="0.7" top="0.75" bottom="0.75" header="0.3" footer="0.3"/>
  <pageSetup scale="39"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BF52"/>
  <sheetViews>
    <sheetView zoomScaleNormal="100" workbookViewId="0">
      <selection activeCell="N3" sqref="N3"/>
    </sheetView>
  </sheetViews>
  <sheetFormatPr defaultRowHeight="15"/>
  <cols>
    <col min="1" max="1" width="4.7109375" customWidth="1"/>
    <col min="2" max="2" width="14.28515625" customWidth="1"/>
    <col min="3" max="3" width="6" customWidth="1"/>
    <col min="4" max="4" width="10.5703125" bestFit="1" customWidth="1"/>
    <col min="5" max="5" width="14" customWidth="1"/>
    <col min="6" max="6" width="17.28515625" customWidth="1"/>
    <col min="7" max="8" width="14.42578125" customWidth="1"/>
    <col min="9" max="10" width="16.5703125" customWidth="1"/>
    <col min="11" max="11" width="13.42578125" customWidth="1"/>
    <col min="12" max="12" width="17.42578125" customWidth="1"/>
    <col min="13" max="13" width="14.7109375" customWidth="1"/>
    <col min="14" max="14" width="13.85546875" customWidth="1"/>
    <col min="15" max="15" width="16.7109375" customWidth="1"/>
    <col min="16" max="16" width="14.140625" customWidth="1"/>
    <col min="17" max="17" width="14.42578125" customWidth="1"/>
    <col min="18" max="18" width="12.140625" customWidth="1"/>
    <col min="19" max="19" width="11.28515625" customWidth="1"/>
    <col min="20" max="20" width="16.28515625" customWidth="1"/>
    <col min="21" max="21" width="11.28515625" customWidth="1"/>
    <col min="22" max="24" width="16" customWidth="1"/>
    <col min="25" max="25" width="14.7109375" customWidth="1"/>
    <col min="26" max="26" width="11.5703125" customWidth="1"/>
    <col min="27" max="27" width="12.7109375" customWidth="1"/>
    <col min="28" max="28" width="11.85546875" customWidth="1"/>
    <col min="29" max="29" width="13.28515625" customWidth="1"/>
    <col min="30" max="30" width="13" customWidth="1"/>
    <col min="31" max="31" width="12.140625" customWidth="1"/>
    <col min="32" max="32" width="17" customWidth="1"/>
    <col min="33" max="33" width="14" customWidth="1"/>
    <col min="34" max="34" width="12.5703125" bestFit="1" customWidth="1"/>
    <col min="35" max="35" width="11.28515625" bestFit="1" customWidth="1"/>
    <col min="36" max="36" width="14" customWidth="1"/>
    <col min="38" max="38" width="16.5703125" bestFit="1" customWidth="1"/>
    <col min="39" max="39" width="6.85546875" customWidth="1"/>
    <col min="40" max="40" width="13.85546875" customWidth="1"/>
    <col min="42" max="42" width="10.85546875" customWidth="1"/>
    <col min="43" max="43" width="2.7109375" customWidth="1"/>
    <col min="44" max="46" width="11" customWidth="1"/>
    <col min="47" max="47" width="5.5703125" customWidth="1"/>
    <col min="48" max="48" width="12.85546875" customWidth="1"/>
  </cols>
  <sheetData>
    <row r="1" spans="1:48" ht="15.75">
      <c r="A1" s="956"/>
      <c r="B1" s="957" t="s">
        <v>2</v>
      </c>
      <c r="C1" s="958"/>
      <c r="D1" s="958"/>
      <c r="E1" s="958"/>
      <c r="F1" s="958"/>
      <c r="G1" s="958"/>
      <c r="H1" s="958"/>
      <c r="I1" s="958"/>
      <c r="J1" s="958"/>
      <c r="K1" s="958"/>
      <c r="L1" s="958"/>
      <c r="M1" s="958"/>
      <c r="N1" s="958"/>
      <c r="O1" s="958"/>
      <c r="P1" s="958"/>
      <c r="Q1" s="958"/>
      <c r="R1" s="958"/>
      <c r="S1" s="958"/>
      <c r="T1" s="958"/>
      <c r="U1" s="958"/>
      <c r="V1" s="958"/>
      <c r="W1" s="958"/>
      <c r="X1" s="958"/>
      <c r="Y1" s="958"/>
      <c r="Z1" s="958"/>
      <c r="AA1" s="958"/>
      <c r="AB1" s="958"/>
      <c r="AC1" s="958"/>
      <c r="AD1" s="958"/>
      <c r="AE1" s="958"/>
      <c r="AF1" s="958"/>
      <c r="AG1" s="959"/>
      <c r="AH1" s="959"/>
      <c r="AI1" s="959"/>
      <c r="AJ1" s="959"/>
      <c r="AK1" s="959"/>
      <c r="AL1" s="959"/>
      <c r="AM1" s="959"/>
      <c r="AN1" s="959"/>
      <c r="AO1" s="959"/>
      <c r="AP1" s="959"/>
      <c r="AQ1" s="959"/>
      <c r="AR1" s="959"/>
      <c r="AS1" s="959"/>
      <c r="AT1" s="959"/>
      <c r="AU1" s="959"/>
    </row>
    <row r="2" spans="1:48" ht="15.75">
      <c r="A2" s="1046"/>
      <c r="B2" s="957" t="s">
        <v>1173</v>
      </c>
      <c r="C2" s="957"/>
      <c r="D2" s="957"/>
      <c r="E2" s="309"/>
      <c r="F2" s="309"/>
      <c r="G2" s="309"/>
      <c r="H2" s="309"/>
      <c r="I2" s="309"/>
      <c r="J2" s="957"/>
      <c r="K2" s="958"/>
      <c r="L2" s="958"/>
      <c r="M2" s="958"/>
      <c r="N2" s="958"/>
      <c r="O2" s="958"/>
      <c r="P2" s="958"/>
      <c r="Q2" s="958"/>
      <c r="R2" s="958"/>
      <c r="S2" s="958"/>
      <c r="T2" s="958"/>
      <c r="U2" s="958"/>
      <c r="V2" s="958"/>
      <c r="W2" s="958"/>
      <c r="X2" s="958"/>
      <c r="Y2" s="958"/>
      <c r="Z2" s="958"/>
      <c r="AA2" s="958"/>
      <c r="AB2" s="958"/>
      <c r="AC2" s="958"/>
      <c r="AD2" s="958"/>
      <c r="AE2" s="958"/>
      <c r="AF2" s="958"/>
      <c r="AG2" s="959"/>
      <c r="AH2" s="959"/>
      <c r="AI2" s="959"/>
      <c r="AJ2" s="959"/>
      <c r="AK2" s="959"/>
      <c r="AL2" s="959"/>
      <c r="AM2" s="959"/>
      <c r="AN2" s="959"/>
      <c r="AO2" s="959"/>
      <c r="AP2" s="959"/>
      <c r="AQ2" s="959"/>
      <c r="AR2" s="959"/>
      <c r="AS2" s="959"/>
      <c r="AT2" s="959"/>
      <c r="AU2" s="959"/>
    </row>
    <row r="3" spans="1:48" ht="15.75">
      <c r="A3" s="956"/>
      <c r="B3" s="960"/>
      <c r="C3" s="957"/>
      <c r="D3" s="957"/>
      <c r="E3" s="309"/>
      <c r="F3" s="309"/>
      <c r="G3" s="309"/>
      <c r="H3" s="309"/>
      <c r="I3" s="309"/>
      <c r="J3" s="957"/>
      <c r="K3" s="958"/>
      <c r="L3" s="958"/>
      <c r="M3" s="958"/>
      <c r="O3" s="958"/>
      <c r="P3" s="958"/>
      <c r="Q3" s="1047">
        <v>2024</v>
      </c>
      <c r="R3" s="958"/>
      <c r="S3" s="958"/>
      <c r="T3" s="959"/>
      <c r="U3" s="958"/>
      <c r="V3" s="958"/>
      <c r="W3" s="958"/>
      <c r="X3" s="958"/>
      <c r="Y3" s="958"/>
      <c r="Z3" s="958"/>
      <c r="AA3" s="958"/>
      <c r="AB3" s="958"/>
      <c r="AC3" s="958"/>
      <c r="AD3" s="958"/>
      <c r="AE3" s="958"/>
      <c r="AF3" s="958"/>
      <c r="AG3" s="959"/>
      <c r="AH3" s="959"/>
      <c r="AI3" s="959"/>
      <c r="AJ3" s="959"/>
      <c r="AK3" s="959"/>
      <c r="AL3" s="959"/>
      <c r="AM3" s="959"/>
      <c r="AN3" s="959"/>
      <c r="AO3" s="959"/>
      <c r="AP3" s="959"/>
      <c r="AQ3" s="959"/>
      <c r="AR3" s="959"/>
      <c r="AS3" s="959"/>
      <c r="AT3" s="959"/>
      <c r="AU3" s="959"/>
    </row>
    <row r="4" spans="1:48" ht="16.5" thickBot="1">
      <c r="A4" s="959"/>
      <c r="B4" s="959"/>
      <c r="C4" s="959"/>
      <c r="D4" s="959"/>
      <c r="E4" s="959"/>
      <c r="F4" s="959"/>
      <c r="G4" s="959"/>
      <c r="H4" s="959"/>
      <c r="I4" s="959"/>
      <c r="J4" s="959"/>
      <c r="K4" s="959"/>
      <c r="L4" s="959"/>
      <c r="M4" s="959"/>
      <c r="N4" s="959"/>
      <c r="O4" s="959"/>
      <c r="P4" s="959"/>
      <c r="Q4" s="959"/>
      <c r="R4" s="959"/>
      <c r="S4" s="959"/>
      <c r="T4" s="959"/>
      <c r="U4" s="961"/>
      <c r="V4" s="961"/>
      <c r="W4" s="961"/>
      <c r="X4" s="961"/>
      <c r="Y4" s="961"/>
      <c r="Z4" s="961"/>
      <c r="AA4" s="961"/>
      <c r="AB4" s="961"/>
      <c r="AC4" s="961"/>
      <c r="AD4" s="956"/>
      <c r="AE4" s="959"/>
      <c r="AF4" s="959"/>
      <c r="AG4" s="959"/>
      <c r="AH4" s="959"/>
      <c r="AI4" s="959"/>
      <c r="AJ4" s="959"/>
      <c r="AK4" s="959"/>
      <c r="AL4" s="959"/>
      <c r="AM4" s="959"/>
      <c r="AN4" s="959"/>
      <c r="AO4" s="959"/>
      <c r="AP4" s="959"/>
      <c r="AQ4" s="959"/>
      <c r="AR4" s="959"/>
      <c r="AS4" s="959"/>
      <c r="AT4" s="959"/>
      <c r="AU4" s="959"/>
    </row>
    <row r="5" spans="1:48" ht="16.5" thickBot="1">
      <c r="A5" s="959"/>
      <c r="B5" s="1983" t="s">
        <v>702</v>
      </c>
      <c r="C5" s="1984"/>
      <c r="D5" s="1985"/>
      <c r="E5" s="1993" t="s">
        <v>1169</v>
      </c>
      <c r="F5" s="1994"/>
      <c r="G5" s="1994"/>
      <c r="H5" s="1994"/>
      <c r="I5" s="1994"/>
      <c r="J5" s="1994"/>
      <c r="K5" s="1994"/>
      <c r="L5" s="1994"/>
      <c r="M5" s="1994"/>
      <c r="N5" s="1994"/>
      <c r="O5" s="1994"/>
      <c r="P5" s="1994"/>
      <c r="Q5" s="1994"/>
      <c r="R5" s="1994"/>
      <c r="S5" s="1994"/>
      <c r="T5" s="1994"/>
      <c r="U5" s="1994"/>
      <c r="V5" s="1994"/>
      <c r="W5" s="1994"/>
      <c r="X5" s="1994"/>
      <c r="Y5" s="1994"/>
      <c r="Z5" s="1994"/>
      <c r="AA5" s="1995"/>
      <c r="AB5" s="1896"/>
      <c r="AC5" s="1982" t="s">
        <v>1090</v>
      </c>
      <c r="AD5" s="1971"/>
      <c r="AE5" s="1971"/>
      <c r="AF5" s="1971"/>
      <c r="AG5" s="1971"/>
      <c r="AH5" s="1975"/>
      <c r="AI5" s="959"/>
      <c r="AJ5" s="959"/>
      <c r="AK5" s="959"/>
      <c r="AL5" s="959"/>
      <c r="AM5" s="959"/>
      <c r="AN5" s="959"/>
      <c r="AO5" s="959"/>
      <c r="AP5" s="959"/>
      <c r="AQ5" s="959"/>
      <c r="AR5" s="959"/>
      <c r="AS5" s="959"/>
      <c r="AT5" s="959"/>
      <c r="AU5" s="959"/>
      <c r="AV5" s="959"/>
    </row>
    <row r="6" spans="1:48" ht="16.5" thickBot="1">
      <c r="A6" s="959"/>
      <c r="B6" s="1986"/>
      <c r="C6" s="1977"/>
      <c r="D6" s="1987"/>
      <c r="E6" s="1836" t="s">
        <v>1091</v>
      </c>
      <c r="F6" s="1832" t="s">
        <v>1092</v>
      </c>
      <c r="G6" s="1833" t="s">
        <v>1093</v>
      </c>
      <c r="H6" s="1833" t="s">
        <v>1094</v>
      </c>
      <c r="I6" s="1833" t="s">
        <v>1095</v>
      </c>
      <c r="J6" s="1833" t="s">
        <v>1096</v>
      </c>
      <c r="K6" s="1833" t="s">
        <v>1097</v>
      </c>
      <c r="L6" s="1833" t="s">
        <v>1098</v>
      </c>
      <c r="M6" s="1833" t="s">
        <v>1099</v>
      </c>
      <c r="N6" s="1833" t="s">
        <v>1100</v>
      </c>
      <c r="O6" s="1833" t="s">
        <v>1101</v>
      </c>
      <c r="P6" s="1833" t="s">
        <v>1102</v>
      </c>
      <c r="Q6" s="1833" t="s">
        <v>1103</v>
      </c>
      <c r="R6" s="1833" t="s">
        <v>1104</v>
      </c>
      <c r="S6" s="1833" t="s">
        <v>1105</v>
      </c>
      <c r="T6" s="1833" t="s">
        <v>1106</v>
      </c>
      <c r="U6" s="1833" t="s">
        <v>1107</v>
      </c>
      <c r="V6" s="1833" t="s">
        <v>1108</v>
      </c>
      <c r="W6" s="1833" t="s">
        <v>1572</v>
      </c>
      <c r="X6" s="1833" t="s">
        <v>1796</v>
      </c>
      <c r="Y6" s="1833" t="s">
        <v>1797</v>
      </c>
      <c r="Z6" s="1833" t="s">
        <v>1796</v>
      </c>
      <c r="AA6" s="971" t="s">
        <v>1109</v>
      </c>
      <c r="AB6" s="1075"/>
      <c r="AC6" s="1832" t="s">
        <v>1110</v>
      </c>
      <c r="AD6" s="1833" t="s">
        <v>1111</v>
      </c>
      <c r="AE6" s="1833" t="s">
        <v>1112</v>
      </c>
      <c r="AF6" s="1833" t="s">
        <v>1113</v>
      </c>
      <c r="AG6" s="1834"/>
      <c r="AH6" s="1835" t="s">
        <v>1114</v>
      </c>
      <c r="AI6" s="966"/>
      <c r="AJ6" s="959"/>
      <c r="AK6" s="959"/>
      <c r="AL6" s="959"/>
      <c r="AM6" s="959"/>
      <c r="AN6" s="959"/>
      <c r="AO6" s="959"/>
      <c r="AP6" s="959"/>
      <c r="AQ6" s="959"/>
      <c r="AR6" s="959"/>
      <c r="AS6" s="959"/>
      <c r="AT6" s="959"/>
      <c r="AU6" s="959"/>
      <c r="AV6" s="959"/>
    </row>
    <row r="7" spans="1:48" ht="47.25">
      <c r="A7" s="959"/>
      <c r="B7" s="973" t="s">
        <v>1115</v>
      </c>
      <c r="C7" s="973"/>
      <c r="D7" s="1051"/>
      <c r="E7" s="1052" t="s">
        <v>2</v>
      </c>
      <c r="F7" s="975" t="s">
        <v>2336</v>
      </c>
      <c r="G7" s="976" t="s">
        <v>2337</v>
      </c>
      <c r="H7" s="976" t="s">
        <v>2338</v>
      </c>
      <c r="I7" s="976" t="s">
        <v>2339</v>
      </c>
      <c r="J7" s="976" t="s">
        <v>2340</v>
      </c>
      <c r="K7" s="976" t="s">
        <v>2341</v>
      </c>
      <c r="L7" s="976" t="s">
        <v>2342</v>
      </c>
      <c r="M7" s="976" t="s">
        <v>2343</v>
      </c>
      <c r="N7" s="976" t="s">
        <v>2344</v>
      </c>
      <c r="O7" s="976" t="s">
        <v>2345</v>
      </c>
      <c r="P7" s="976" t="s">
        <v>2346</v>
      </c>
      <c r="Q7" s="976" t="s">
        <v>2424</v>
      </c>
      <c r="R7" s="976" t="s">
        <v>2348</v>
      </c>
      <c r="S7" s="976" t="s">
        <v>2349</v>
      </c>
      <c r="T7" s="976" t="s">
        <v>2350</v>
      </c>
      <c r="U7" s="976" t="s">
        <v>2351</v>
      </c>
      <c r="V7" s="976" t="s">
        <v>2352</v>
      </c>
      <c r="W7" s="976" t="s">
        <v>2353</v>
      </c>
      <c r="X7" s="976" t="s">
        <v>2426</v>
      </c>
      <c r="Y7" s="976" t="s">
        <v>2354</v>
      </c>
      <c r="Z7" s="976" t="s">
        <v>2427</v>
      </c>
      <c r="AA7" s="1053"/>
      <c r="AB7" s="959"/>
      <c r="AC7" s="981" t="s">
        <v>1116</v>
      </c>
      <c r="AD7" s="977" t="s">
        <v>1117</v>
      </c>
      <c r="AE7" s="977" t="s">
        <v>1118</v>
      </c>
      <c r="AF7" s="977" t="s">
        <v>1119</v>
      </c>
      <c r="AG7" s="982"/>
      <c r="AH7" s="978"/>
      <c r="AI7" s="966"/>
      <c r="AJ7" s="959"/>
      <c r="AK7" s="959"/>
      <c r="AL7" s="959"/>
      <c r="AM7" s="959"/>
      <c r="AN7" s="959"/>
      <c r="AO7" s="959"/>
      <c r="AP7" s="959"/>
      <c r="AQ7" s="959"/>
      <c r="AR7" s="959"/>
      <c r="AS7" s="959"/>
      <c r="AT7" s="959"/>
      <c r="AU7" s="959"/>
      <c r="AV7" s="959"/>
    </row>
    <row r="8" spans="1:48" ht="15.75">
      <c r="A8" s="959"/>
      <c r="B8" s="979" t="s">
        <v>1120</v>
      </c>
      <c r="C8" s="979"/>
      <c r="D8" s="1054"/>
      <c r="E8" s="1074" t="s">
        <v>1121</v>
      </c>
      <c r="F8" s="1074" t="s">
        <v>1122</v>
      </c>
      <c r="G8" s="1055" t="s">
        <v>1122</v>
      </c>
      <c r="H8" s="1055" t="s">
        <v>1122</v>
      </c>
      <c r="I8" s="977" t="s">
        <v>1122</v>
      </c>
      <c r="J8" s="977" t="s">
        <v>1122</v>
      </c>
      <c r="K8" s="977" t="s">
        <v>1122</v>
      </c>
      <c r="L8" s="977" t="s">
        <v>1122</v>
      </c>
      <c r="M8" s="977" t="s">
        <v>1122</v>
      </c>
      <c r="N8" s="977" t="s">
        <v>1122</v>
      </c>
      <c r="O8" s="977" t="s">
        <v>1122</v>
      </c>
      <c r="P8" s="977" t="s">
        <v>1122</v>
      </c>
      <c r="Q8" s="977" t="s">
        <v>1122</v>
      </c>
      <c r="R8" s="977" t="s">
        <v>1122</v>
      </c>
      <c r="S8" s="977" t="s">
        <v>1122</v>
      </c>
      <c r="T8" s="977" t="s">
        <v>1122</v>
      </c>
      <c r="U8" s="977" t="s">
        <v>1122</v>
      </c>
      <c r="V8" s="977" t="s">
        <v>1122</v>
      </c>
      <c r="W8" s="977" t="s">
        <v>1122</v>
      </c>
      <c r="X8" s="977"/>
      <c r="Y8" s="977"/>
      <c r="Z8" s="977" t="s">
        <v>1122</v>
      </c>
      <c r="AA8" s="1056" t="s">
        <v>1123</v>
      </c>
      <c r="AB8" s="959"/>
      <c r="AC8" s="981" t="s">
        <v>1124</v>
      </c>
      <c r="AD8" s="977" t="s">
        <v>1124</v>
      </c>
      <c r="AE8" s="977" t="s">
        <v>1124</v>
      </c>
      <c r="AF8" s="977" t="s">
        <v>1124</v>
      </c>
      <c r="AG8" s="982"/>
      <c r="AH8" s="978" t="s">
        <v>1125</v>
      </c>
      <c r="AI8" s="959"/>
      <c r="AJ8" s="959"/>
      <c r="AK8" s="959"/>
      <c r="AL8" s="959"/>
      <c r="AM8" s="959"/>
      <c r="AN8" s="959"/>
      <c r="AO8" s="959"/>
      <c r="AP8" s="959"/>
      <c r="AQ8" s="959"/>
      <c r="AR8" s="959"/>
      <c r="AS8" s="959"/>
      <c r="AT8" s="959"/>
      <c r="AU8" s="959"/>
      <c r="AV8" s="959"/>
    </row>
    <row r="9" spans="1:48" ht="16.5" thickBot="1">
      <c r="A9" s="959"/>
      <c r="B9" s="983" t="s">
        <v>1126</v>
      </c>
      <c r="C9" s="1057" t="s">
        <v>1170</v>
      </c>
      <c r="D9" s="1057" t="s">
        <v>1171</v>
      </c>
      <c r="E9" s="1058" t="s">
        <v>1175</v>
      </c>
      <c r="F9" s="984" t="s">
        <v>2355</v>
      </c>
      <c r="G9" s="985" t="s">
        <v>2356</v>
      </c>
      <c r="H9" s="985" t="s">
        <v>2357</v>
      </c>
      <c r="I9" s="985" t="s">
        <v>2358</v>
      </c>
      <c r="J9" s="985" t="s">
        <v>2359</v>
      </c>
      <c r="K9" s="985" t="s">
        <v>2360</v>
      </c>
      <c r="L9" s="985" t="s">
        <v>2361</v>
      </c>
      <c r="M9" s="985" t="s">
        <v>2362</v>
      </c>
      <c r="N9" s="985" t="s">
        <v>2363</v>
      </c>
      <c r="O9" s="985" t="s">
        <v>2364</v>
      </c>
      <c r="P9" s="985" t="s">
        <v>2365</v>
      </c>
      <c r="Q9" s="985" t="s">
        <v>2425</v>
      </c>
      <c r="R9" s="985" t="s">
        <v>2367</v>
      </c>
      <c r="S9" s="985" t="s">
        <v>2368</v>
      </c>
      <c r="T9" s="985" t="s">
        <v>2369</v>
      </c>
      <c r="U9" s="985" t="s">
        <v>2370</v>
      </c>
      <c r="V9" s="985" t="s">
        <v>2371</v>
      </c>
      <c r="W9" s="985" t="s">
        <v>2372</v>
      </c>
      <c r="X9" s="985" t="s">
        <v>2428</v>
      </c>
      <c r="Y9" s="985" t="s">
        <v>2373</v>
      </c>
      <c r="Z9" s="1895" t="s">
        <v>2366</v>
      </c>
      <c r="AA9" s="1059"/>
      <c r="AB9" s="959"/>
      <c r="AC9" s="981" t="s">
        <v>1127</v>
      </c>
      <c r="AD9" s="977" t="s">
        <v>1128</v>
      </c>
      <c r="AE9" s="977" t="s">
        <v>1129</v>
      </c>
      <c r="AF9" s="977" t="s">
        <v>1130</v>
      </c>
      <c r="AG9" s="982"/>
      <c r="AH9" s="986"/>
      <c r="AI9" s="959"/>
      <c r="AJ9" s="959"/>
      <c r="AK9" s="959"/>
      <c r="AL9" s="959"/>
      <c r="AM9" s="959"/>
      <c r="AN9" s="959"/>
      <c r="AO9" s="959"/>
      <c r="AP9" s="959"/>
      <c r="AQ9" s="959"/>
      <c r="AR9" s="959"/>
      <c r="AS9" s="959"/>
      <c r="AT9" s="959"/>
      <c r="AU9" s="959"/>
      <c r="AV9" s="959"/>
    </row>
    <row r="10" spans="1:48" ht="15.75">
      <c r="A10" s="959"/>
      <c r="B10" s="967" t="s">
        <v>976</v>
      </c>
      <c r="C10" s="1060">
        <v>16</v>
      </c>
      <c r="D10" s="1512">
        <v>0.33333333333333331</v>
      </c>
      <c r="E10" s="993">
        <v>9138.848</v>
      </c>
      <c r="F10" s="1061">
        <v>6.9119999999999999</v>
      </c>
      <c r="G10" s="1062">
        <v>3.069</v>
      </c>
      <c r="H10" s="1062">
        <v>38.613999999999997</v>
      </c>
      <c r="I10" s="1062">
        <v>1.83</v>
      </c>
      <c r="J10" s="1062">
        <v>0.67300000000000004</v>
      </c>
      <c r="K10" s="1062">
        <v>0.25800000000000001</v>
      </c>
      <c r="L10" s="1062">
        <v>0.112</v>
      </c>
      <c r="M10" s="1062">
        <v>1.2E-2</v>
      </c>
      <c r="N10" s="1062">
        <v>19.940000000000001</v>
      </c>
      <c r="O10" s="1062">
        <v>16.038</v>
      </c>
      <c r="P10" s="1062">
        <v>11.676</v>
      </c>
      <c r="Q10" s="1062">
        <v>0</v>
      </c>
      <c r="R10" s="1062">
        <v>7.0000000000000001E-3</v>
      </c>
      <c r="S10" s="1062">
        <v>8.9999999999999993E-3</v>
      </c>
      <c r="T10" s="1062">
        <v>27.300999999999998</v>
      </c>
      <c r="U10" s="1062">
        <v>8.36</v>
      </c>
      <c r="V10" s="1062">
        <v>392.56900000000002</v>
      </c>
      <c r="W10" s="1062">
        <v>108.42999999999999</v>
      </c>
      <c r="X10" s="1062">
        <v>0</v>
      </c>
      <c r="Y10" s="1062">
        <v>5.024</v>
      </c>
      <c r="Z10" s="1837">
        <v>65.709000000000003</v>
      </c>
      <c r="AA10" s="1077">
        <f>SUM(F10:Z10)</f>
        <v>706.54299999999989</v>
      </c>
      <c r="AB10" s="959"/>
      <c r="AC10" s="988">
        <v>491.45600000000002</v>
      </c>
      <c r="AD10" s="989">
        <v>56.808999999999997</v>
      </c>
      <c r="AE10" s="989">
        <v>100.26599999999999</v>
      </c>
      <c r="AF10" s="989">
        <v>305</v>
      </c>
      <c r="AG10" s="990"/>
      <c r="AH10" s="991">
        <f>SUM(AC10:AG10)</f>
        <v>953.53099999999995</v>
      </c>
      <c r="AI10" s="992"/>
      <c r="AJ10" s="959"/>
      <c r="AK10" s="959"/>
      <c r="AL10" s="959"/>
      <c r="AM10" s="959"/>
      <c r="AN10" s="959"/>
      <c r="AO10" s="959"/>
      <c r="AP10" s="959"/>
      <c r="AQ10" s="959"/>
      <c r="AR10" s="959"/>
      <c r="AS10" s="959"/>
      <c r="AT10" s="959"/>
      <c r="AU10" s="959"/>
      <c r="AV10" s="959"/>
    </row>
    <row r="11" spans="1:48" ht="15.75">
      <c r="A11" s="959"/>
      <c r="B11" s="967" t="s">
        <v>977</v>
      </c>
      <c r="C11" s="1060">
        <v>13</v>
      </c>
      <c r="D11" s="1512">
        <v>0.33333333333333331</v>
      </c>
      <c r="E11" s="993">
        <v>7981.5879999999997</v>
      </c>
      <c r="F11" s="1063">
        <v>7.6840000000000002</v>
      </c>
      <c r="G11" s="994">
        <v>2.952</v>
      </c>
      <c r="H11" s="994">
        <v>28.649000000000001</v>
      </c>
      <c r="I11" s="994">
        <v>1.333</v>
      </c>
      <c r="J11" s="994">
        <v>0.42099999999999999</v>
      </c>
      <c r="K11" s="994">
        <v>1.7000000000000001E-2</v>
      </c>
      <c r="L11" s="994">
        <v>4.4999999999999998E-2</v>
      </c>
      <c r="M11" s="994">
        <v>1.0999999999999999E-2</v>
      </c>
      <c r="N11" s="994">
        <v>18.009</v>
      </c>
      <c r="O11" s="994">
        <v>16.600000000000001</v>
      </c>
      <c r="P11" s="994">
        <v>9.6690000000000005</v>
      </c>
      <c r="Q11" s="994">
        <v>0</v>
      </c>
      <c r="R11" s="994">
        <v>7.0000000000000001E-3</v>
      </c>
      <c r="S11" s="994">
        <v>6.0000000000000001E-3</v>
      </c>
      <c r="T11" s="994">
        <v>32.779000000000003</v>
      </c>
      <c r="U11" s="994">
        <v>8.8659999999999997</v>
      </c>
      <c r="V11" s="994">
        <v>268.49400000000003</v>
      </c>
      <c r="W11" s="994">
        <v>108.30500000000001</v>
      </c>
      <c r="X11" s="994">
        <v>0</v>
      </c>
      <c r="Y11" s="994">
        <v>5.0220000000000002</v>
      </c>
      <c r="Z11" s="1838">
        <v>42.606999999999999</v>
      </c>
      <c r="AA11" s="1077">
        <f t="shared" ref="AA11:AA21" si="0">SUM(F11:Z11)</f>
        <v>551.476</v>
      </c>
      <c r="AB11" s="959"/>
      <c r="AC11" s="995">
        <v>443.87</v>
      </c>
      <c r="AD11" s="996">
        <v>46.372</v>
      </c>
      <c r="AE11" s="996">
        <v>114.5</v>
      </c>
      <c r="AF11" s="996">
        <v>255</v>
      </c>
      <c r="AG11" s="997"/>
      <c r="AH11" s="991">
        <f t="shared" ref="AH11:AH21" si="1">SUM(AC11:AG11)</f>
        <v>859.74199999999996</v>
      </c>
      <c r="AI11" s="992"/>
      <c r="AJ11" s="959"/>
      <c r="AK11" s="959"/>
      <c r="AL11" s="959"/>
      <c r="AM11" s="959"/>
      <c r="AN11" s="959"/>
      <c r="AO11" s="959"/>
      <c r="AP11" s="959"/>
      <c r="AQ11" s="959"/>
      <c r="AR11" s="959"/>
      <c r="AS11" s="959"/>
      <c r="AT11" s="959"/>
      <c r="AU11" s="959"/>
      <c r="AV11" s="959"/>
    </row>
    <row r="12" spans="1:48" ht="15.75">
      <c r="A12" s="959"/>
      <c r="B12" s="967" t="s">
        <v>795</v>
      </c>
      <c r="C12" s="1060">
        <v>4</v>
      </c>
      <c r="D12" s="1512">
        <v>0.33333333333333331</v>
      </c>
      <c r="E12" s="993">
        <v>8211.1730000000007</v>
      </c>
      <c r="F12" s="1063">
        <v>6.5739999999999998</v>
      </c>
      <c r="G12" s="994">
        <v>3.274</v>
      </c>
      <c r="H12" s="994">
        <v>28.864000000000001</v>
      </c>
      <c r="I12" s="994">
        <v>1.335</v>
      </c>
      <c r="J12" s="994">
        <v>3.2000000000000001E-2</v>
      </c>
      <c r="K12" s="994">
        <v>0.01</v>
      </c>
      <c r="L12" s="994">
        <v>5.0000000000000001E-3</v>
      </c>
      <c r="M12" s="994">
        <v>1.0999999999999999E-2</v>
      </c>
      <c r="N12" s="994">
        <v>17.143999999999998</v>
      </c>
      <c r="O12" s="994">
        <v>16.190000000000001</v>
      </c>
      <c r="P12" s="994">
        <v>9.5069999999999997</v>
      </c>
      <c r="Q12" s="994">
        <v>0</v>
      </c>
      <c r="R12" s="994">
        <v>8.0000000000000002E-3</v>
      </c>
      <c r="S12" s="994">
        <v>8.9999999999999993E-3</v>
      </c>
      <c r="T12" s="994">
        <v>34.448999999999998</v>
      </c>
      <c r="U12" s="994">
        <v>8.4559999999999995</v>
      </c>
      <c r="V12" s="994">
        <v>296.52699999999999</v>
      </c>
      <c r="W12" s="994">
        <v>107.00099999999999</v>
      </c>
      <c r="X12" s="994">
        <v>0</v>
      </c>
      <c r="Y12" s="994">
        <v>4.4269999999999996</v>
      </c>
      <c r="Z12" s="1838">
        <v>45.621000000000002</v>
      </c>
      <c r="AA12" s="1077">
        <f t="shared" si="0"/>
        <v>579.44399999999996</v>
      </c>
      <c r="AB12" s="959"/>
      <c r="AC12" s="995">
        <v>431.06799999999998</v>
      </c>
      <c r="AD12" s="996">
        <v>43.402000000000001</v>
      </c>
      <c r="AE12" s="996">
        <v>85.510999999999996</v>
      </c>
      <c r="AF12" s="996">
        <v>260</v>
      </c>
      <c r="AG12" s="997"/>
      <c r="AH12" s="991">
        <f t="shared" si="1"/>
        <v>819.98099999999999</v>
      </c>
      <c r="AI12" s="992"/>
      <c r="AJ12" s="959"/>
      <c r="AK12" s="959"/>
      <c r="AL12" s="959"/>
      <c r="AM12" s="959"/>
      <c r="AN12" s="959"/>
      <c r="AO12" s="959"/>
      <c r="AP12" s="959"/>
      <c r="AQ12" s="959"/>
      <c r="AR12" s="959"/>
      <c r="AS12" s="959"/>
      <c r="AT12" s="959"/>
      <c r="AU12" s="959"/>
      <c r="AV12" s="959"/>
    </row>
    <row r="13" spans="1:48" ht="15.75">
      <c r="A13" s="959"/>
      <c r="B13" s="967" t="s">
        <v>796</v>
      </c>
      <c r="C13" s="1060">
        <v>8</v>
      </c>
      <c r="D13" s="1512">
        <v>0.33333333333333331</v>
      </c>
      <c r="E13" s="993">
        <v>7292.6469999999999</v>
      </c>
      <c r="F13" s="1063">
        <v>6.4340000000000002</v>
      </c>
      <c r="G13" s="994">
        <v>2.8410000000000002</v>
      </c>
      <c r="H13" s="994">
        <v>20.507000000000001</v>
      </c>
      <c r="I13" s="994">
        <v>1.077</v>
      </c>
      <c r="J13" s="994">
        <v>0</v>
      </c>
      <c r="K13" s="994">
        <v>0</v>
      </c>
      <c r="L13" s="994">
        <v>0</v>
      </c>
      <c r="M13" s="994">
        <v>1.0999999999999999E-2</v>
      </c>
      <c r="N13" s="994">
        <v>14.105</v>
      </c>
      <c r="O13" s="994">
        <v>15.779</v>
      </c>
      <c r="P13" s="994">
        <v>8.6460000000000008</v>
      </c>
      <c r="Q13" s="994">
        <v>0</v>
      </c>
      <c r="R13" s="994">
        <v>0.22800000000000001</v>
      </c>
      <c r="S13" s="994">
        <v>8.9999999999999993E-3</v>
      </c>
      <c r="T13" s="994">
        <v>33.9</v>
      </c>
      <c r="U13" s="994">
        <v>8.7680000000000007</v>
      </c>
      <c r="V13" s="994">
        <v>219.71100000000001</v>
      </c>
      <c r="W13" s="994">
        <v>71.8</v>
      </c>
      <c r="X13" s="994">
        <v>0</v>
      </c>
      <c r="Y13" s="994">
        <v>3.923</v>
      </c>
      <c r="Z13" s="1838">
        <v>42.523000000000003</v>
      </c>
      <c r="AA13" s="1077">
        <f t="shared" si="0"/>
        <v>450.26200000000006</v>
      </c>
      <c r="AB13" s="959"/>
      <c r="AC13" s="995">
        <v>370.66199999999998</v>
      </c>
      <c r="AD13" s="996">
        <v>17.145</v>
      </c>
      <c r="AE13" s="996">
        <v>116.48699999999999</v>
      </c>
      <c r="AF13" s="996">
        <v>288</v>
      </c>
      <c r="AG13" s="997"/>
      <c r="AH13" s="991">
        <f t="shared" si="1"/>
        <v>792.29399999999998</v>
      </c>
      <c r="AI13" s="992"/>
      <c r="AJ13" s="959"/>
      <c r="AK13" s="959"/>
      <c r="AL13" s="959"/>
      <c r="AM13" s="959"/>
      <c r="AN13" s="959"/>
      <c r="AO13" s="959"/>
      <c r="AP13" s="959"/>
      <c r="AQ13" s="959"/>
      <c r="AR13" s="959"/>
      <c r="AS13" s="959"/>
      <c r="AT13" s="959"/>
      <c r="AU13" s="959"/>
      <c r="AV13" s="959"/>
    </row>
    <row r="14" spans="1:48" ht="15.75">
      <c r="A14" s="998"/>
      <c r="B14" s="967" t="s">
        <v>797</v>
      </c>
      <c r="C14" s="1060">
        <v>28</v>
      </c>
      <c r="D14" s="1512">
        <v>0.75</v>
      </c>
      <c r="E14" s="993">
        <v>7759.1540000000005</v>
      </c>
      <c r="F14" s="1063">
        <v>4.8730000000000002</v>
      </c>
      <c r="G14" s="994">
        <v>2.528</v>
      </c>
      <c r="H14" s="994">
        <v>13.238</v>
      </c>
      <c r="I14" s="994">
        <v>0.45600000000000002</v>
      </c>
      <c r="J14" s="994">
        <v>0</v>
      </c>
      <c r="K14" s="994">
        <v>0</v>
      </c>
      <c r="L14" s="994">
        <v>0</v>
      </c>
      <c r="M14" s="994">
        <v>0.186</v>
      </c>
      <c r="N14" s="994">
        <v>11.706</v>
      </c>
      <c r="O14" s="994">
        <v>17.437999999999999</v>
      </c>
      <c r="P14" s="994">
        <v>9.2720000000000002</v>
      </c>
      <c r="Q14" s="994">
        <v>0</v>
      </c>
      <c r="R14" s="994">
        <v>0.51200000000000001</v>
      </c>
      <c r="S14" s="994">
        <v>2.548</v>
      </c>
      <c r="T14" s="994">
        <v>34.771999999999998</v>
      </c>
      <c r="U14" s="994">
        <v>7.9640000000000004</v>
      </c>
      <c r="V14" s="994">
        <v>141.44200000000001</v>
      </c>
      <c r="W14" s="994">
        <v>94.10499999999999</v>
      </c>
      <c r="X14" s="994">
        <v>0</v>
      </c>
      <c r="Y14" s="994">
        <v>4.3460000000000001</v>
      </c>
      <c r="Z14" s="1838">
        <v>37.338999999999999</v>
      </c>
      <c r="AA14" s="1077">
        <f t="shared" si="0"/>
        <v>382.72499999999997</v>
      </c>
      <c r="AB14" s="959"/>
      <c r="AC14" s="995">
        <v>582.77700000000004</v>
      </c>
      <c r="AD14" s="996">
        <v>61.774000000000001</v>
      </c>
      <c r="AE14" s="996">
        <v>145.19999999999999</v>
      </c>
      <c r="AF14" s="996">
        <v>284</v>
      </c>
      <c r="AG14" s="997"/>
      <c r="AH14" s="991">
        <f t="shared" si="1"/>
        <v>1073.751</v>
      </c>
      <c r="AI14" s="992"/>
      <c r="AJ14" s="959"/>
      <c r="AK14" s="959"/>
      <c r="AL14" s="959"/>
      <c r="AM14" s="959"/>
      <c r="AN14" s="959"/>
      <c r="AO14" s="959"/>
      <c r="AP14" s="959"/>
      <c r="AQ14" s="959"/>
      <c r="AR14" s="959"/>
      <c r="AS14" s="959"/>
      <c r="AT14" s="959"/>
      <c r="AU14" s="959"/>
      <c r="AV14" s="959"/>
    </row>
    <row r="15" spans="1:48" ht="15.75">
      <c r="A15" s="959"/>
      <c r="B15" s="967" t="s">
        <v>980</v>
      </c>
      <c r="C15" s="1060">
        <v>25</v>
      </c>
      <c r="D15" s="1512">
        <v>0.75</v>
      </c>
      <c r="E15" s="993">
        <v>10542.151</v>
      </c>
      <c r="F15" s="1063">
        <v>5.8920000000000003</v>
      </c>
      <c r="G15" s="994">
        <v>3.1709999999999998</v>
      </c>
      <c r="H15" s="994">
        <v>15.067</v>
      </c>
      <c r="I15" s="994">
        <v>0.315</v>
      </c>
      <c r="J15" s="994">
        <v>0</v>
      </c>
      <c r="K15" s="994">
        <v>0</v>
      </c>
      <c r="L15" s="994">
        <v>0</v>
      </c>
      <c r="M15" s="994">
        <v>1.1830000000000001</v>
      </c>
      <c r="N15" s="994">
        <v>17.622</v>
      </c>
      <c r="O15" s="994">
        <v>19.972999999999999</v>
      </c>
      <c r="P15" s="994">
        <v>10.589</v>
      </c>
      <c r="Q15" s="994">
        <v>0</v>
      </c>
      <c r="R15" s="994">
        <v>0.53</v>
      </c>
      <c r="S15" s="994">
        <v>3.3769999999999998</v>
      </c>
      <c r="T15" s="994">
        <v>36.128999999999998</v>
      </c>
      <c r="U15" s="994">
        <v>5.9499999999999993</v>
      </c>
      <c r="V15" s="994">
        <v>197.173</v>
      </c>
      <c r="W15" s="994">
        <v>116.97200000000001</v>
      </c>
      <c r="X15" s="994">
        <v>0</v>
      </c>
      <c r="Y15" s="994">
        <v>4.2030000000000003</v>
      </c>
      <c r="Z15" s="1838">
        <v>56.530999999999999</v>
      </c>
      <c r="AA15" s="1077">
        <f t="shared" si="0"/>
        <v>494.67699999999996</v>
      </c>
      <c r="AB15" s="959"/>
      <c r="AC15" s="995">
        <v>921.54399999999998</v>
      </c>
      <c r="AD15" s="996">
        <v>164.91499999999999</v>
      </c>
      <c r="AE15" s="996">
        <v>220.94499999999999</v>
      </c>
      <c r="AF15" s="996">
        <v>267</v>
      </c>
      <c r="AG15" s="997"/>
      <c r="AH15" s="991">
        <f t="shared" si="1"/>
        <v>1574.404</v>
      </c>
      <c r="AI15" s="992"/>
      <c r="AJ15" s="959"/>
      <c r="AK15" s="959"/>
      <c r="AL15" s="959"/>
      <c r="AM15" s="959"/>
      <c r="AN15" s="959"/>
      <c r="AO15" s="959"/>
      <c r="AP15" s="959"/>
      <c r="AQ15" s="959"/>
      <c r="AR15" s="959"/>
      <c r="AS15" s="959"/>
      <c r="AT15" s="959"/>
      <c r="AU15" s="959"/>
      <c r="AV15" s="959"/>
    </row>
    <row r="16" spans="1:48" ht="15.75">
      <c r="A16" s="959"/>
      <c r="B16" s="967" t="s">
        <v>1131</v>
      </c>
      <c r="C16" s="1060">
        <v>10</v>
      </c>
      <c r="D16" s="1512">
        <v>0.70833333333333337</v>
      </c>
      <c r="E16" s="993">
        <v>11155.932000000001</v>
      </c>
      <c r="F16" s="1063">
        <v>6.9080000000000004</v>
      </c>
      <c r="G16" s="994">
        <v>3.5840000000000001</v>
      </c>
      <c r="H16" s="994">
        <v>17.716000000000001</v>
      </c>
      <c r="I16" s="994">
        <v>0.47099999999999997</v>
      </c>
      <c r="J16" s="994">
        <v>0</v>
      </c>
      <c r="K16" s="994">
        <v>0</v>
      </c>
      <c r="L16" s="994">
        <v>0</v>
      </c>
      <c r="M16" s="994">
        <v>1.3620000000000001</v>
      </c>
      <c r="N16" s="994">
        <v>15.446</v>
      </c>
      <c r="O16" s="994">
        <v>21.588999999999999</v>
      </c>
      <c r="P16" s="994">
        <v>11.356</v>
      </c>
      <c r="Q16" s="994">
        <v>0</v>
      </c>
      <c r="R16" s="994">
        <v>0.6</v>
      </c>
      <c r="S16" s="994">
        <v>2.069</v>
      </c>
      <c r="T16" s="994">
        <v>36.253999999999998</v>
      </c>
      <c r="U16" s="994">
        <v>7.8049999999999997</v>
      </c>
      <c r="V16" s="994">
        <v>211.32599999999999</v>
      </c>
      <c r="W16" s="994">
        <v>109.244</v>
      </c>
      <c r="X16" s="994">
        <v>0</v>
      </c>
      <c r="Y16" s="994">
        <v>5.641</v>
      </c>
      <c r="Z16" s="1838">
        <v>67.92</v>
      </c>
      <c r="AA16" s="1077">
        <f t="shared" si="0"/>
        <v>519.29100000000005</v>
      </c>
      <c r="AB16" s="959"/>
      <c r="AC16" s="995">
        <v>968.8</v>
      </c>
      <c r="AD16" s="996">
        <v>160.08600000000001</v>
      </c>
      <c r="AE16" s="996">
        <v>226.95599999999999</v>
      </c>
      <c r="AF16" s="996">
        <v>306</v>
      </c>
      <c r="AG16" s="997"/>
      <c r="AH16" s="991">
        <f t="shared" si="1"/>
        <v>1661.8419999999999</v>
      </c>
      <c r="AI16" s="992"/>
      <c r="AJ16" s="959"/>
      <c r="AK16" s="959"/>
      <c r="AL16" s="959"/>
      <c r="AM16" s="959"/>
      <c r="AN16" s="959"/>
      <c r="AO16" s="959"/>
      <c r="AP16" s="959"/>
      <c r="AQ16" s="959"/>
      <c r="AR16" s="959"/>
      <c r="AS16" s="959"/>
      <c r="AT16" s="959"/>
      <c r="AU16" s="959"/>
      <c r="AV16" s="959"/>
    </row>
    <row r="17" spans="1:58" ht="15.75">
      <c r="A17" s="959"/>
      <c r="B17" s="967" t="s">
        <v>982</v>
      </c>
      <c r="C17" s="1060">
        <v>6</v>
      </c>
      <c r="D17" s="1512">
        <v>0.70833333333333337</v>
      </c>
      <c r="E17" s="993">
        <v>10846.869000000001</v>
      </c>
      <c r="F17" s="1063">
        <v>7.2190000000000003</v>
      </c>
      <c r="G17" s="994">
        <v>3.181</v>
      </c>
      <c r="H17" s="994">
        <v>13.004</v>
      </c>
      <c r="I17" s="994">
        <v>0</v>
      </c>
      <c r="J17" s="994">
        <v>0</v>
      </c>
      <c r="K17" s="994">
        <v>0</v>
      </c>
      <c r="L17" s="994">
        <v>0</v>
      </c>
      <c r="M17" s="994">
        <v>1.2</v>
      </c>
      <c r="N17" s="994">
        <v>16.846</v>
      </c>
      <c r="O17" s="994">
        <v>20.29</v>
      </c>
      <c r="P17" s="994">
        <v>11.099</v>
      </c>
      <c r="Q17" s="994">
        <v>0</v>
      </c>
      <c r="R17" s="994">
        <v>0.58499999999999996</v>
      </c>
      <c r="S17" s="994">
        <v>2.78</v>
      </c>
      <c r="T17" s="994">
        <v>36.180999999999997</v>
      </c>
      <c r="U17" s="994">
        <v>6.4649999999999999</v>
      </c>
      <c r="V17" s="994">
        <v>179.315</v>
      </c>
      <c r="W17" s="994">
        <v>123.596</v>
      </c>
      <c r="X17" s="994">
        <v>0</v>
      </c>
      <c r="Y17" s="994">
        <v>5.7789999999999999</v>
      </c>
      <c r="Z17" s="1838">
        <v>52.921999999999997</v>
      </c>
      <c r="AA17" s="1077">
        <f t="shared" si="0"/>
        <v>480.46199999999999</v>
      </c>
      <c r="AB17" s="959"/>
      <c r="AC17" s="995">
        <v>1003.289</v>
      </c>
      <c r="AD17" s="996">
        <v>183.11</v>
      </c>
      <c r="AE17" s="996">
        <v>226.13499999999999</v>
      </c>
      <c r="AF17" s="996">
        <v>293</v>
      </c>
      <c r="AG17" s="997"/>
      <c r="AH17" s="991">
        <f t="shared" si="1"/>
        <v>1705.5339999999999</v>
      </c>
      <c r="AI17" s="992"/>
      <c r="AJ17" s="959"/>
      <c r="AK17" s="959"/>
      <c r="AL17" s="959"/>
      <c r="AM17" s="959"/>
      <c r="AN17" s="959"/>
      <c r="AO17" s="959"/>
      <c r="AP17" s="959"/>
      <c r="AQ17" s="959"/>
      <c r="AR17" s="959"/>
      <c r="AS17" s="959"/>
      <c r="AT17" s="959"/>
      <c r="AU17" s="959"/>
      <c r="AV17" s="959"/>
    </row>
    <row r="18" spans="1:58" ht="15.75">
      <c r="A18" s="959"/>
      <c r="B18" s="967" t="s">
        <v>1132</v>
      </c>
      <c r="C18" s="1060">
        <v>6</v>
      </c>
      <c r="D18" s="1512">
        <v>0.70833333333333337</v>
      </c>
      <c r="E18" s="993">
        <v>9716.9359999999997</v>
      </c>
      <c r="F18" s="1063">
        <v>7.0720000000000001</v>
      </c>
      <c r="G18" s="994">
        <v>3.6080000000000001</v>
      </c>
      <c r="H18" s="994">
        <v>18.239999999999998</v>
      </c>
      <c r="I18" s="994">
        <v>0.30599999999999999</v>
      </c>
      <c r="J18" s="994">
        <v>3.0000000000000001E-3</v>
      </c>
      <c r="K18" s="994">
        <v>0</v>
      </c>
      <c r="L18" s="994">
        <v>0</v>
      </c>
      <c r="M18" s="994">
        <v>1.073</v>
      </c>
      <c r="N18" s="994">
        <v>15.031000000000001</v>
      </c>
      <c r="O18" s="994">
        <v>21.376000000000001</v>
      </c>
      <c r="P18" s="994">
        <v>10.234</v>
      </c>
      <c r="Q18" s="994">
        <v>0</v>
      </c>
      <c r="R18" s="994">
        <v>0.52</v>
      </c>
      <c r="S18" s="994">
        <v>2.5230000000000001</v>
      </c>
      <c r="T18" s="994">
        <v>36.094000000000001</v>
      </c>
      <c r="U18" s="994">
        <v>7.367</v>
      </c>
      <c r="V18" s="994">
        <v>146.642</v>
      </c>
      <c r="W18" s="994">
        <v>107.627</v>
      </c>
      <c r="X18" s="994">
        <v>0</v>
      </c>
      <c r="Y18" s="994">
        <v>4.7590000000000003</v>
      </c>
      <c r="Z18" s="1838">
        <v>50.502000000000002</v>
      </c>
      <c r="AA18" s="1077">
        <f t="shared" si="0"/>
        <v>432.97700000000003</v>
      </c>
      <c r="AB18" s="959"/>
      <c r="AC18" s="995">
        <v>749.30100000000004</v>
      </c>
      <c r="AD18" s="996">
        <v>107.554</v>
      </c>
      <c r="AE18" s="996">
        <v>189.92699999999999</v>
      </c>
      <c r="AF18" s="996">
        <v>284</v>
      </c>
      <c r="AG18" s="997"/>
      <c r="AH18" s="991">
        <f t="shared" si="1"/>
        <v>1330.7819999999999</v>
      </c>
      <c r="AI18" s="992"/>
      <c r="AJ18" s="959"/>
      <c r="AK18" s="959"/>
      <c r="AL18" s="959"/>
      <c r="AM18" s="959"/>
      <c r="AN18" s="959"/>
      <c r="AO18" s="959"/>
      <c r="AP18" s="959"/>
      <c r="AQ18" s="959"/>
      <c r="AR18" s="959"/>
      <c r="AS18" s="959"/>
      <c r="AT18" s="959"/>
      <c r="AU18" s="959"/>
      <c r="AV18" s="959"/>
    </row>
    <row r="19" spans="1:58" ht="15.75">
      <c r="A19" s="959"/>
      <c r="B19" s="967" t="s">
        <v>984</v>
      </c>
      <c r="C19" s="1060">
        <v>9</v>
      </c>
      <c r="D19" s="1512">
        <v>0.70833333333333337</v>
      </c>
      <c r="E19" s="993">
        <v>7725.9620000000004</v>
      </c>
      <c r="F19" s="1063">
        <v>5.0730000000000004</v>
      </c>
      <c r="G19" s="994">
        <v>2.7370000000000001</v>
      </c>
      <c r="H19" s="994">
        <v>11.271000000000001</v>
      </c>
      <c r="I19" s="994">
        <v>0.42799999999999999</v>
      </c>
      <c r="J19" s="994">
        <v>3.4000000000000002E-2</v>
      </c>
      <c r="K19" s="994">
        <v>0</v>
      </c>
      <c r="L19" s="994">
        <v>0</v>
      </c>
      <c r="M19" s="994">
        <v>0.54700000000000004</v>
      </c>
      <c r="N19" s="994">
        <v>11.074</v>
      </c>
      <c r="O19" s="994">
        <v>17.725999999999999</v>
      </c>
      <c r="P19" s="994">
        <v>7.8869999999999996</v>
      </c>
      <c r="Q19" s="994">
        <v>0</v>
      </c>
      <c r="R19" s="994">
        <v>0.24</v>
      </c>
      <c r="S19" s="994">
        <v>1.1040000000000001</v>
      </c>
      <c r="T19" s="994">
        <v>34.93</v>
      </c>
      <c r="U19" s="994">
        <v>6.9370000000000003</v>
      </c>
      <c r="V19" s="994">
        <v>124.92400000000001</v>
      </c>
      <c r="W19" s="994">
        <v>90.227000000000004</v>
      </c>
      <c r="X19" s="994">
        <v>0</v>
      </c>
      <c r="Y19" s="994">
        <v>4.1280000000000001</v>
      </c>
      <c r="Z19" s="1838">
        <v>37.694000000000003</v>
      </c>
      <c r="AA19" s="1077">
        <f t="shared" si="0"/>
        <v>356.96100000000001</v>
      </c>
      <c r="AB19" s="959"/>
      <c r="AC19" s="995">
        <v>606.84400000000005</v>
      </c>
      <c r="AD19" s="996">
        <v>94.350999999999999</v>
      </c>
      <c r="AE19" s="996">
        <v>164.589</v>
      </c>
      <c r="AF19" s="996">
        <v>234</v>
      </c>
      <c r="AG19" s="997"/>
      <c r="AH19" s="991">
        <f t="shared" si="1"/>
        <v>1099.7840000000001</v>
      </c>
      <c r="AI19" s="992"/>
      <c r="AJ19" s="959"/>
      <c r="AK19" s="959"/>
      <c r="AL19" s="959"/>
      <c r="AM19" s="959"/>
      <c r="AN19" s="959"/>
      <c r="AO19" s="959"/>
      <c r="AP19" s="959"/>
      <c r="AQ19" s="959"/>
      <c r="AR19" s="959"/>
      <c r="AS19" s="959"/>
      <c r="AT19" s="959"/>
      <c r="AU19" s="959"/>
      <c r="AV19" s="959"/>
    </row>
    <row r="20" spans="1:58" ht="15.75">
      <c r="A20" s="959"/>
      <c r="B20" s="967" t="s">
        <v>985</v>
      </c>
      <c r="C20" s="1060">
        <v>19</v>
      </c>
      <c r="D20" s="1512">
        <v>0.75</v>
      </c>
      <c r="E20" s="993">
        <v>8213.5589999999993</v>
      </c>
      <c r="F20" s="1063">
        <v>6.34</v>
      </c>
      <c r="G20" s="994">
        <v>2.9119999999999999</v>
      </c>
      <c r="H20" s="994">
        <v>25.050999999999998</v>
      </c>
      <c r="I20" s="994">
        <v>0</v>
      </c>
      <c r="J20" s="994">
        <v>0</v>
      </c>
      <c r="K20" s="994">
        <v>0.182</v>
      </c>
      <c r="L20" s="994">
        <v>0.22500000000000001</v>
      </c>
      <c r="M20" s="994">
        <v>1.0999999999999999E-2</v>
      </c>
      <c r="N20" s="994">
        <v>17</v>
      </c>
      <c r="O20" s="994">
        <v>14.936</v>
      </c>
      <c r="P20" s="994">
        <v>10.169</v>
      </c>
      <c r="Q20" s="994">
        <v>0</v>
      </c>
      <c r="R20" s="994">
        <v>8.0000000000000002E-3</v>
      </c>
      <c r="S20" s="994">
        <v>8.0000000000000002E-3</v>
      </c>
      <c r="T20" s="994">
        <v>34.954000000000001</v>
      </c>
      <c r="U20" s="994">
        <v>7.7809999999999997</v>
      </c>
      <c r="V20" s="994">
        <v>270.26600000000002</v>
      </c>
      <c r="W20" s="994">
        <v>110.443</v>
      </c>
      <c r="X20" s="994">
        <v>0</v>
      </c>
      <c r="Y20" s="994">
        <v>4.2329999999999997</v>
      </c>
      <c r="Z20" s="1838">
        <v>46.706000000000003</v>
      </c>
      <c r="AA20" s="1077">
        <f t="shared" si="0"/>
        <v>551.22500000000002</v>
      </c>
      <c r="AB20" s="959"/>
      <c r="AC20" s="995">
        <v>372.30099999999999</v>
      </c>
      <c r="AD20" s="996">
        <v>44.962000000000003</v>
      </c>
      <c r="AE20" s="996">
        <v>75.313000000000002</v>
      </c>
      <c r="AF20" s="996">
        <v>335</v>
      </c>
      <c r="AG20" s="997"/>
      <c r="AH20" s="991">
        <f t="shared" si="1"/>
        <v>827.57600000000002</v>
      </c>
      <c r="AI20" s="992"/>
      <c r="AJ20" s="959"/>
      <c r="AK20" s="959"/>
      <c r="AL20" s="959"/>
      <c r="AM20" s="959"/>
      <c r="AN20" s="959"/>
      <c r="AO20" s="959"/>
      <c r="AP20" s="959"/>
      <c r="AQ20" s="959"/>
      <c r="AR20" s="959"/>
      <c r="AS20" s="959"/>
      <c r="AT20" s="959"/>
      <c r="AU20" s="959"/>
      <c r="AV20" s="959"/>
    </row>
    <row r="21" spans="1:58" ht="16.5" thickBot="1">
      <c r="A21" s="959"/>
      <c r="B21" s="983" t="s">
        <v>986</v>
      </c>
      <c r="C21" s="1060">
        <v>10</v>
      </c>
      <c r="D21" s="1512">
        <v>0.33333333333333331</v>
      </c>
      <c r="E21" s="993">
        <v>8649.3629999999994</v>
      </c>
      <c r="F21" s="1064">
        <v>7.5869999999999997</v>
      </c>
      <c r="G21" s="1601">
        <v>3.4929999999999999</v>
      </c>
      <c r="H21" s="1601">
        <v>31.373000000000001</v>
      </c>
      <c r="I21" s="1601">
        <v>1.3380000000000001</v>
      </c>
      <c r="J21" s="1601">
        <v>0.49399999999999999</v>
      </c>
      <c r="K21" s="1601">
        <v>7.8E-2</v>
      </c>
      <c r="L21" s="1601">
        <v>0.156</v>
      </c>
      <c r="M21" s="1601">
        <v>4.0000000000000001E-3</v>
      </c>
      <c r="N21" s="1601">
        <v>21.558</v>
      </c>
      <c r="O21" s="1601">
        <v>14.98</v>
      </c>
      <c r="P21" s="1601">
        <v>10.007</v>
      </c>
      <c r="Q21" s="1601">
        <v>0</v>
      </c>
      <c r="R21" s="1601">
        <v>8.0000000000000002E-3</v>
      </c>
      <c r="S21" s="1601">
        <v>0.1</v>
      </c>
      <c r="T21" s="1601">
        <v>34.673000000000002</v>
      </c>
      <c r="U21" s="1601">
        <v>9.0559999999999992</v>
      </c>
      <c r="V21" s="1601">
        <v>297.334</v>
      </c>
      <c r="W21" s="1601">
        <v>121.468</v>
      </c>
      <c r="X21" s="1601">
        <v>0</v>
      </c>
      <c r="Y21" s="1601">
        <v>4.7809999999999997</v>
      </c>
      <c r="Z21" s="1866">
        <v>49.021000000000001</v>
      </c>
      <c r="AA21" s="1077">
        <f t="shared" si="0"/>
        <v>607.5089999999999</v>
      </c>
      <c r="AB21" s="959"/>
      <c r="AC21" s="999">
        <v>448.69099999999997</v>
      </c>
      <c r="AD21" s="1000">
        <v>138.166</v>
      </c>
      <c r="AE21" s="1000">
        <v>167.65</v>
      </c>
      <c r="AF21" s="1000">
        <v>204</v>
      </c>
      <c r="AG21" s="1001"/>
      <c r="AH21" s="991">
        <f t="shared" si="1"/>
        <v>958.50699999999995</v>
      </c>
      <c r="AI21" s="992"/>
      <c r="AJ21" s="959"/>
      <c r="AK21" s="959"/>
      <c r="AL21" s="959"/>
      <c r="AM21" s="959"/>
      <c r="AN21" s="959"/>
      <c r="AO21" s="959"/>
      <c r="AP21" s="959"/>
      <c r="AQ21" s="959"/>
      <c r="AR21" s="959"/>
      <c r="AS21" s="959"/>
      <c r="AT21" s="959"/>
      <c r="AU21" s="959"/>
      <c r="AV21" s="959"/>
    </row>
    <row r="22" spans="1:58" ht="16.5" thickBot="1">
      <c r="A22" s="959"/>
      <c r="B22" s="1002" t="s">
        <v>111</v>
      </c>
      <c r="C22" s="1065"/>
      <c r="D22" s="1066"/>
      <c r="E22" s="1003">
        <f>SUM(E10:E21)</f>
        <v>107234.182</v>
      </c>
      <c r="F22" s="1078">
        <f t="shared" ref="F22:Z22" si="2">SUM(F10:F21)</f>
        <v>78.568000000000026</v>
      </c>
      <c r="G22" s="1078">
        <f t="shared" si="2"/>
        <v>37.35</v>
      </c>
      <c r="H22" s="1078">
        <f t="shared" si="2"/>
        <v>261.59399999999999</v>
      </c>
      <c r="I22" s="1078">
        <f t="shared" si="2"/>
        <v>8.8890000000000011</v>
      </c>
      <c r="J22" s="1078">
        <f t="shared" si="2"/>
        <v>1.657</v>
      </c>
      <c r="K22" s="1078">
        <f t="shared" si="2"/>
        <v>0.54500000000000004</v>
      </c>
      <c r="L22" s="1078">
        <f t="shared" si="2"/>
        <v>0.54300000000000004</v>
      </c>
      <c r="M22" s="1078">
        <f t="shared" si="2"/>
        <v>5.6109999999999989</v>
      </c>
      <c r="N22" s="1078">
        <f t="shared" si="2"/>
        <v>195.48099999999999</v>
      </c>
      <c r="O22" s="1078">
        <f t="shared" si="2"/>
        <v>212.91499999999999</v>
      </c>
      <c r="P22" s="1078">
        <f t="shared" si="2"/>
        <v>120.11099999999999</v>
      </c>
      <c r="Q22" s="1078">
        <f t="shared" si="2"/>
        <v>0</v>
      </c>
      <c r="R22" s="1078">
        <f t="shared" si="2"/>
        <v>3.2530000000000001</v>
      </c>
      <c r="S22" s="1078">
        <f t="shared" si="2"/>
        <v>14.542</v>
      </c>
      <c r="T22" s="1078">
        <f t="shared" si="2"/>
        <v>412.416</v>
      </c>
      <c r="U22" s="1078">
        <f t="shared" si="2"/>
        <v>93.775000000000006</v>
      </c>
      <c r="V22" s="1078">
        <f t="shared" si="2"/>
        <v>2745.723</v>
      </c>
      <c r="W22" s="1078">
        <f t="shared" si="2"/>
        <v>1269.2180000000001</v>
      </c>
      <c r="X22" s="1078">
        <f t="shared" si="2"/>
        <v>0</v>
      </c>
      <c r="Y22" s="1078">
        <f t="shared" si="2"/>
        <v>56.265999999999991</v>
      </c>
      <c r="Z22" s="1078">
        <f t="shared" si="2"/>
        <v>595.09500000000003</v>
      </c>
      <c r="AA22" s="1003">
        <f>SUM(F22:Z22)</f>
        <v>6113.5519999999997</v>
      </c>
      <c r="AB22" s="959"/>
      <c r="AC22" s="1039">
        <f t="shared" ref="AC22:AH22" si="3">SUM(AC10:AC21)</f>
        <v>7390.6030000000001</v>
      </c>
      <c r="AD22" s="1040">
        <f t="shared" si="3"/>
        <v>1118.646</v>
      </c>
      <c r="AE22" s="1040">
        <f t="shared" si="3"/>
        <v>1833.479</v>
      </c>
      <c r="AF22" s="1040">
        <f t="shared" si="3"/>
        <v>3315</v>
      </c>
      <c r="AG22" s="1005">
        <f t="shared" si="3"/>
        <v>0</v>
      </c>
      <c r="AH22" s="1003">
        <f t="shared" si="3"/>
        <v>13657.727999999997</v>
      </c>
      <c r="AI22" s="992"/>
      <c r="AJ22" s="959"/>
      <c r="AK22" s="959"/>
      <c r="AL22" s="959"/>
      <c r="AM22" s="1006"/>
      <c r="AN22" s="959"/>
      <c r="AO22" s="959"/>
      <c r="AP22" s="959"/>
      <c r="AQ22" s="959"/>
      <c r="AR22" s="959"/>
      <c r="AS22" s="959"/>
      <c r="AT22" s="959"/>
      <c r="AU22" s="959"/>
      <c r="AV22" s="959"/>
    </row>
    <row r="23" spans="1:58" ht="16.5" thickBot="1">
      <c r="A23" s="959"/>
      <c r="B23" s="983" t="s">
        <v>1133</v>
      </c>
      <c r="C23" s="1048"/>
      <c r="D23" s="1070"/>
      <c r="E23" s="1067">
        <f t="shared" ref="E23:Z23" si="4">+E22/12</f>
        <v>8936.181833333334</v>
      </c>
      <c r="F23" s="1078">
        <f t="shared" si="4"/>
        <v>6.5473333333333352</v>
      </c>
      <c r="G23" s="1078">
        <f t="shared" si="4"/>
        <v>3.1125000000000003</v>
      </c>
      <c r="H23" s="1078">
        <f t="shared" si="4"/>
        <v>21.799499999999998</v>
      </c>
      <c r="I23" s="1078">
        <f t="shared" si="4"/>
        <v>0.74075000000000013</v>
      </c>
      <c r="J23" s="1078">
        <f t="shared" si="4"/>
        <v>0.13808333333333334</v>
      </c>
      <c r="K23" s="1078">
        <f t="shared" si="4"/>
        <v>4.5416666666666668E-2</v>
      </c>
      <c r="L23" s="1078">
        <f t="shared" si="4"/>
        <v>4.5250000000000005E-2</v>
      </c>
      <c r="M23" s="1078">
        <f t="shared" si="4"/>
        <v>0.46758333333333324</v>
      </c>
      <c r="N23" s="1078">
        <f t="shared" si="4"/>
        <v>16.290083333333332</v>
      </c>
      <c r="O23" s="1078">
        <f t="shared" si="4"/>
        <v>17.742916666666666</v>
      </c>
      <c r="P23" s="1078">
        <f t="shared" si="4"/>
        <v>10.00925</v>
      </c>
      <c r="Q23" s="1078">
        <f t="shared" si="4"/>
        <v>0</v>
      </c>
      <c r="R23" s="1078">
        <f t="shared" si="4"/>
        <v>0.27108333333333334</v>
      </c>
      <c r="S23" s="1078">
        <f t="shared" si="4"/>
        <v>1.2118333333333333</v>
      </c>
      <c r="T23" s="1078">
        <f t="shared" si="4"/>
        <v>34.368000000000002</v>
      </c>
      <c r="U23" s="1078">
        <f t="shared" si="4"/>
        <v>7.8145833333333341</v>
      </c>
      <c r="V23" s="1078">
        <f t="shared" si="4"/>
        <v>228.81025</v>
      </c>
      <c r="W23" s="1078">
        <f t="shared" si="4"/>
        <v>105.76816666666667</v>
      </c>
      <c r="X23" s="1078">
        <f t="shared" si="4"/>
        <v>0</v>
      </c>
      <c r="Y23" s="1078">
        <f t="shared" si="4"/>
        <v>4.6888333333333323</v>
      </c>
      <c r="Z23" s="1078">
        <f t="shared" si="4"/>
        <v>49.591250000000002</v>
      </c>
      <c r="AA23" s="1003">
        <f>+AA22/12</f>
        <v>509.46266666666662</v>
      </c>
      <c r="AB23" s="959"/>
      <c r="AC23" s="1039">
        <f t="shared" ref="AC23:AH23" si="5">+AC22/12</f>
        <v>615.88358333333338</v>
      </c>
      <c r="AD23" s="1040">
        <f t="shared" si="5"/>
        <v>93.220500000000001</v>
      </c>
      <c r="AE23" s="1040">
        <f t="shared" si="5"/>
        <v>152.78991666666667</v>
      </c>
      <c r="AF23" s="1040">
        <f t="shared" si="5"/>
        <v>276.25</v>
      </c>
      <c r="AG23" s="1040">
        <f t="shared" si="5"/>
        <v>0</v>
      </c>
      <c r="AH23" s="1003">
        <f t="shared" si="5"/>
        <v>1138.1439999999998</v>
      </c>
      <c r="AI23" s="1010"/>
      <c r="AJ23" s="959"/>
      <c r="AK23" s="959"/>
      <c r="AL23" s="959"/>
      <c r="AM23" s="959"/>
      <c r="AN23" s="959"/>
      <c r="AO23" s="959"/>
      <c r="AP23" s="959"/>
      <c r="AQ23" s="959"/>
      <c r="AR23" s="959"/>
      <c r="AS23" s="959"/>
      <c r="AT23" s="959"/>
      <c r="AU23" s="959"/>
      <c r="AV23" s="959"/>
    </row>
    <row r="24" spans="1:58" ht="16.5" thickBot="1">
      <c r="A24" s="959"/>
      <c r="B24" s="959"/>
      <c r="C24" s="1048"/>
      <c r="D24" s="959"/>
      <c r="E24" s="959"/>
      <c r="F24" s="959"/>
      <c r="G24" s="959"/>
      <c r="H24" s="959"/>
      <c r="I24" s="959"/>
      <c r="J24" s="959"/>
      <c r="K24" s="959"/>
      <c r="L24" s="959"/>
      <c r="M24" s="959"/>
      <c r="N24" s="959"/>
      <c r="O24" s="959"/>
      <c r="P24" s="959"/>
      <c r="Q24" s="959"/>
      <c r="R24" s="959"/>
      <c r="S24" s="959"/>
      <c r="T24" s="959"/>
      <c r="U24" s="959"/>
      <c r="V24" s="959"/>
      <c r="W24" s="959"/>
      <c r="X24" s="959"/>
      <c r="Y24" s="1006"/>
      <c r="Z24" s="959"/>
      <c r="AA24" s="959"/>
      <c r="AB24" s="959"/>
      <c r="AC24" s="1006"/>
      <c r="AD24" s="959"/>
      <c r="AE24" s="959"/>
      <c r="AF24" s="959"/>
      <c r="AG24" s="959"/>
      <c r="AH24" s="959"/>
      <c r="AI24" s="959"/>
      <c r="AJ24" s="959"/>
      <c r="AK24" s="959"/>
      <c r="AL24" s="959"/>
      <c r="AM24" s="959"/>
      <c r="AN24" s="959"/>
      <c r="AO24" s="959"/>
      <c r="AP24" s="959"/>
      <c r="AQ24" s="959"/>
    </row>
    <row r="25" spans="1:58" ht="16.5" thickBot="1">
      <c r="A25" s="959"/>
      <c r="B25" s="964"/>
      <c r="C25" s="959"/>
      <c r="D25" s="1068"/>
      <c r="E25" s="1969" t="s">
        <v>1176</v>
      </c>
      <c r="F25" s="1970"/>
      <c r="G25" s="1970"/>
      <c r="H25" s="1970"/>
      <c r="I25" s="1970"/>
      <c r="J25" s="1970"/>
      <c r="K25" s="1970"/>
      <c r="L25" s="1970"/>
      <c r="M25" s="1970"/>
      <c r="N25" s="1970"/>
      <c r="O25" s="1970"/>
      <c r="P25" s="1970"/>
      <c r="Q25" s="1970"/>
      <c r="R25" s="1970"/>
      <c r="S25" s="1970"/>
      <c r="T25" s="1970"/>
      <c r="U25" s="1970"/>
      <c r="V25" s="1970"/>
      <c r="W25" s="1970"/>
      <c r="X25" s="1970"/>
      <c r="Y25" s="1970"/>
      <c r="Z25" s="1971"/>
      <c r="AA25" s="1971"/>
      <c r="AB25" s="1971"/>
      <c r="AC25" s="1971"/>
      <c r="AD25" s="1971"/>
      <c r="AE25" s="1971"/>
      <c r="AF25" s="1971"/>
      <c r="AG25" s="1991"/>
      <c r="AH25" s="1991"/>
      <c r="AI25" s="1991"/>
      <c r="AJ25" s="1991"/>
      <c r="AK25" s="1991"/>
      <c r="AL25" s="1991"/>
      <c r="AM25" s="1991"/>
      <c r="AN25" s="1991"/>
      <c r="AO25" s="1991"/>
      <c r="AP25" s="1992"/>
      <c r="AQ25" s="959"/>
      <c r="AR25" s="959"/>
      <c r="AS25" s="959"/>
      <c r="AT25" s="959"/>
      <c r="AU25" s="959"/>
      <c r="AV25" s="959"/>
      <c r="AW25" s="959"/>
    </row>
    <row r="26" spans="1:58" ht="16.5" thickBot="1">
      <c r="A26" s="959"/>
      <c r="B26" s="967" t="s">
        <v>702</v>
      </c>
      <c r="C26" s="1048"/>
      <c r="D26" s="959"/>
      <c r="E26" s="1011" t="s">
        <v>1135</v>
      </c>
      <c r="F26" s="1012" t="s">
        <v>1136</v>
      </c>
      <c r="G26" s="1012" t="s">
        <v>1137</v>
      </c>
      <c r="H26" s="1012" t="s">
        <v>1138</v>
      </c>
      <c r="I26" s="1012" t="s">
        <v>1139</v>
      </c>
      <c r="J26" s="1012" t="s">
        <v>1140</v>
      </c>
      <c r="K26" s="1012" t="s">
        <v>1141</v>
      </c>
      <c r="L26" s="1012" t="s">
        <v>1142</v>
      </c>
      <c r="M26" s="1012" t="s">
        <v>1143</v>
      </c>
      <c r="N26" s="1012" t="s">
        <v>1144</v>
      </c>
      <c r="O26" s="1012" t="s">
        <v>1145</v>
      </c>
      <c r="P26" s="1012" t="s">
        <v>1146</v>
      </c>
      <c r="Q26" s="1012" t="s">
        <v>1147</v>
      </c>
      <c r="R26" s="1012" t="s">
        <v>1148</v>
      </c>
      <c r="S26" s="1012" t="s">
        <v>1149</v>
      </c>
      <c r="T26" s="1012" t="s">
        <v>1150</v>
      </c>
      <c r="U26" s="1012" t="s">
        <v>1151</v>
      </c>
      <c r="V26" s="1012" t="s">
        <v>1152</v>
      </c>
      <c r="W26" s="1012" t="s">
        <v>1153</v>
      </c>
      <c r="X26" s="1012" t="s">
        <v>1154</v>
      </c>
      <c r="Y26" s="1012" t="s">
        <v>1155</v>
      </c>
      <c r="Z26" s="1012" t="s">
        <v>1156</v>
      </c>
      <c r="AA26" s="1012" t="s">
        <v>1571</v>
      </c>
      <c r="AB26" s="1012" t="s">
        <v>1573</v>
      </c>
      <c r="AC26" s="1012" t="s">
        <v>1574</v>
      </c>
      <c r="AD26" s="1012" t="s">
        <v>1774</v>
      </c>
      <c r="AE26" s="1012" t="s">
        <v>1800</v>
      </c>
      <c r="AF26" s="1012" t="s">
        <v>1817</v>
      </c>
      <c r="AG26" s="1012" t="s">
        <v>1878</v>
      </c>
      <c r="AH26" s="1012" t="s">
        <v>1879</v>
      </c>
      <c r="AI26" s="1012" t="s">
        <v>1880</v>
      </c>
      <c r="AJ26" s="1012" t="s">
        <v>1881</v>
      </c>
      <c r="AK26" s="1012" t="s">
        <v>2050</v>
      </c>
      <c r="AL26" s="1012" t="s">
        <v>2192</v>
      </c>
      <c r="AM26" s="1012" t="s">
        <v>2193</v>
      </c>
      <c r="AN26" s="1012" t="s">
        <v>2194</v>
      </c>
      <c r="AO26" s="1012" t="s">
        <v>2195</v>
      </c>
      <c r="AP26" s="1013" t="s">
        <v>1157</v>
      </c>
      <c r="AQ26" s="959"/>
      <c r="AR26" s="959"/>
      <c r="AS26" s="959"/>
      <c r="AT26" s="959"/>
      <c r="AU26" s="959"/>
      <c r="AV26" s="959"/>
      <c r="AW26" s="959"/>
      <c r="AX26" s="959"/>
      <c r="AY26" s="959"/>
      <c r="AZ26" s="959"/>
      <c r="BA26" s="959"/>
      <c r="BB26" s="959"/>
    </row>
    <row r="27" spans="1:58" ht="95.25" thickBot="1">
      <c r="A27" s="1079"/>
      <c r="B27" s="1080" t="s">
        <v>1115</v>
      </c>
      <c r="C27" s="1081"/>
      <c r="D27" s="1082"/>
      <c r="E27" s="1083" t="s">
        <v>2</v>
      </c>
      <c r="F27" s="1084" t="s">
        <v>2375</v>
      </c>
      <c r="G27" s="1084" t="s">
        <v>2429</v>
      </c>
      <c r="H27" s="1084" t="s">
        <v>2376</v>
      </c>
      <c r="I27" s="1084" t="s">
        <v>2376</v>
      </c>
      <c r="J27" s="1084" t="s">
        <v>2377</v>
      </c>
      <c r="K27" s="1084" t="s">
        <v>2378</v>
      </c>
      <c r="L27" s="1084" t="s">
        <v>2378</v>
      </c>
      <c r="M27" s="1084" t="s">
        <v>2378</v>
      </c>
      <c r="N27" s="1084" t="s">
        <v>2379</v>
      </c>
      <c r="O27" s="1084" t="s">
        <v>2383</v>
      </c>
      <c r="P27" s="1084" t="s">
        <v>2383</v>
      </c>
      <c r="Q27" s="1084" t="s">
        <v>2392</v>
      </c>
      <c r="R27" s="1084" t="s">
        <v>2385</v>
      </c>
      <c r="S27" s="1084" t="s">
        <v>2385</v>
      </c>
      <c r="T27" s="1084" t="s">
        <v>2385</v>
      </c>
      <c r="U27" s="1084" t="s">
        <v>2385</v>
      </c>
      <c r="V27" s="1084" t="s">
        <v>2385</v>
      </c>
      <c r="W27" s="1084" t="s">
        <v>2385</v>
      </c>
      <c r="X27" s="1084" t="s">
        <v>2385</v>
      </c>
      <c r="Y27" s="1084" t="s">
        <v>2385</v>
      </c>
      <c r="Z27" s="1084" t="s">
        <v>2385</v>
      </c>
      <c r="AA27" s="1084" t="s">
        <v>2385</v>
      </c>
      <c r="AB27" s="1084" t="s">
        <v>2385</v>
      </c>
      <c r="AC27" s="1084" t="s">
        <v>2385</v>
      </c>
      <c r="AD27" s="1084" t="s">
        <v>2386</v>
      </c>
      <c r="AE27" s="1084" t="s">
        <v>2387</v>
      </c>
      <c r="AF27" s="1084" t="s">
        <v>2388</v>
      </c>
      <c r="AG27" s="1084" t="s">
        <v>2389</v>
      </c>
      <c r="AH27" s="1084" t="s">
        <v>2390</v>
      </c>
      <c r="AI27" s="1084" t="s">
        <v>2382</v>
      </c>
      <c r="AJ27" s="1084" t="s">
        <v>2391</v>
      </c>
      <c r="AK27" s="1084" t="s">
        <v>2380</v>
      </c>
      <c r="AL27" s="1084" t="s">
        <v>2374</v>
      </c>
      <c r="AM27" s="1084" t="s">
        <v>2381</v>
      </c>
      <c r="AN27" s="1084">
        <v>0</v>
      </c>
      <c r="AO27" s="1084" t="s">
        <v>2393</v>
      </c>
      <c r="AP27" s="1085"/>
      <c r="AQ27" s="1079"/>
      <c r="AR27" s="1079"/>
      <c r="AS27" s="1079"/>
      <c r="AT27" s="1079"/>
      <c r="AU27" s="1079"/>
      <c r="AV27" s="1086" t="s">
        <v>296</v>
      </c>
      <c r="AW27" s="1079"/>
      <c r="AX27" s="1079"/>
      <c r="AY27" s="1079"/>
      <c r="AZ27" s="1079"/>
      <c r="BA27" s="1079"/>
      <c r="BB27" s="1079"/>
      <c r="BC27" s="1079"/>
      <c r="BD27" s="1079"/>
      <c r="BE27" s="1079"/>
      <c r="BF27" s="1079"/>
    </row>
    <row r="28" spans="1:58" ht="31.5">
      <c r="A28" s="1087"/>
      <c r="B28" s="1088" t="s">
        <v>1120</v>
      </c>
      <c r="C28" s="1089"/>
      <c r="E28" s="1485" t="s">
        <v>1158</v>
      </c>
      <c r="F28" s="1486" t="s">
        <v>1158</v>
      </c>
      <c r="G28" s="1486" t="s">
        <v>1158</v>
      </c>
      <c r="H28" s="1486" t="s">
        <v>1158</v>
      </c>
      <c r="I28" s="1486" t="s">
        <v>1158</v>
      </c>
      <c r="J28" s="1486" t="s">
        <v>1158</v>
      </c>
      <c r="K28" s="1486" t="s">
        <v>1158</v>
      </c>
      <c r="L28" s="1486" t="s">
        <v>1158</v>
      </c>
      <c r="M28" s="1486" t="s">
        <v>1158</v>
      </c>
      <c r="N28" s="1486" t="s">
        <v>1158</v>
      </c>
      <c r="O28" s="1486" t="s">
        <v>1158</v>
      </c>
      <c r="P28" s="1486" t="s">
        <v>1158</v>
      </c>
      <c r="Q28" s="1486" t="s">
        <v>1158</v>
      </c>
      <c r="R28" s="1486" t="s">
        <v>1158</v>
      </c>
      <c r="S28" s="1486" t="s">
        <v>1158</v>
      </c>
      <c r="T28" s="1486" t="s">
        <v>1158</v>
      </c>
      <c r="U28" s="1486" t="s">
        <v>1158</v>
      </c>
      <c r="V28" s="1486" t="s">
        <v>1158</v>
      </c>
      <c r="W28" s="1486" t="s">
        <v>1158</v>
      </c>
      <c r="X28" s="1486" t="s">
        <v>1158</v>
      </c>
      <c r="Y28" s="1486" t="s">
        <v>1158</v>
      </c>
      <c r="Z28" s="1486" t="s">
        <v>1158</v>
      </c>
      <c r="AA28" s="1486" t="s">
        <v>1158</v>
      </c>
      <c r="AB28" s="1486" t="s">
        <v>1158</v>
      </c>
      <c r="AC28" s="1486" t="s">
        <v>1158</v>
      </c>
      <c r="AD28" s="1486" t="s">
        <v>1158</v>
      </c>
      <c r="AE28" s="1486" t="s">
        <v>1158</v>
      </c>
      <c r="AF28" s="1486" t="s">
        <v>1158</v>
      </c>
      <c r="AG28" s="1486" t="s">
        <v>1158</v>
      </c>
      <c r="AH28" s="1486" t="s">
        <v>1158</v>
      </c>
      <c r="AI28" s="1486" t="s">
        <v>1158</v>
      </c>
      <c r="AJ28" s="1486" t="s">
        <v>1158</v>
      </c>
      <c r="AK28" s="1486"/>
      <c r="AL28" s="1486"/>
      <c r="AM28" s="1486"/>
      <c r="AN28" s="1486"/>
      <c r="AO28" s="1486"/>
      <c r="AP28" s="1090" t="s">
        <v>1159</v>
      </c>
      <c r="AQ28" s="1087"/>
      <c r="AR28" s="1091" t="s">
        <v>1160</v>
      </c>
      <c r="AS28" s="1091" t="s">
        <v>1161</v>
      </c>
      <c r="AT28" s="1091" t="s">
        <v>1162</v>
      </c>
      <c r="AU28" s="1087"/>
      <c r="AV28" s="1972" t="s">
        <v>1163</v>
      </c>
      <c r="AW28" s="1087"/>
      <c r="AX28" s="1087"/>
      <c r="AY28" s="1087"/>
      <c r="AZ28" s="1087"/>
      <c r="BA28" s="1087"/>
      <c r="BB28" s="1087"/>
      <c r="BC28" s="1087"/>
      <c r="BD28" s="1087"/>
      <c r="BE28" s="1087"/>
      <c r="BF28" s="1087"/>
    </row>
    <row r="29" spans="1:58" ht="32.25" thickBot="1">
      <c r="A29" s="1079"/>
      <c r="B29" s="1092" t="s">
        <v>1126</v>
      </c>
      <c r="C29" s="1093" t="s">
        <v>1170</v>
      </c>
      <c r="D29" s="1094" t="s">
        <v>1171</v>
      </c>
      <c r="E29" s="1487" t="s">
        <v>2394</v>
      </c>
      <c r="F29" s="1488" t="s">
        <v>2396</v>
      </c>
      <c r="G29" s="1488" t="s">
        <v>2430</v>
      </c>
      <c r="H29" s="1488" t="s">
        <v>2431</v>
      </c>
      <c r="I29" s="1488" t="s">
        <v>2397</v>
      </c>
      <c r="J29" s="1488" t="s">
        <v>2398</v>
      </c>
      <c r="K29" s="1488" t="s">
        <v>2399</v>
      </c>
      <c r="L29" s="1488" t="s">
        <v>2432</v>
      </c>
      <c r="M29" s="1488" t="s">
        <v>2433</v>
      </c>
      <c r="N29" s="1488" t="s">
        <v>2400</v>
      </c>
      <c r="O29" s="1488" t="s">
        <v>2404</v>
      </c>
      <c r="P29" s="1488" t="s">
        <v>2405</v>
      </c>
      <c r="Q29" s="1488" t="s">
        <v>2423</v>
      </c>
      <c r="R29" s="1488" t="s">
        <v>2407</v>
      </c>
      <c r="S29" s="1488" t="s">
        <v>2408</v>
      </c>
      <c r="T29" s="1488" t="s">
        <v>2409</v>
      </c>
      <c r="U29" s="1488" t="s">
        <v>2410</v>
      </c>
      <c r="V29" s="1488" t="s">
        <v>2411</v>
      </c>
      <c r="W29" s="1488" t="s">
        <v>2412</v>
      </c>
      <c r="X29" s="1488" t="s">
        <v>2413</v>
      </c>
      <c r="Y29" s="1488" t="s">
        <v>2414</v>
      </c>
      <c r="Z29" s="1488" t="s">
        <v>2434</v>
      </c>
      <c r="AA29" s="1488" t="s">
        <v>2435</v>
      </c>
      <c r="AB29" s="1488" t="s">
        <v>2415</v>
      </c>
      <c r="AC29" s="1488" t="s">
        <v>2416</v>
      </c>
      <c r="AD29" s="1488" t="s">
        <v>2417</v>
      </c>
      <c r="AE29" s="1488" t="s">
        <v>2436</v>
      </c>
      <c r="AF29" s="1488" t="s">
        <v>2419</v>
      </c>
      <c r="AG29" s="1488" t="s">
        <v>2420</v>
      </c>
      <c r="AH29" s="1488" t="s">
        <v>2421</v>
      </c>
      <c r="AI29" s="1488" t="s">
        <v>2437</v>
      </c>
      <c r="AJ29" s="1488" t="s">
        <v>2422</v>
      </c>
      <c r="AK29" s="1488" t="s">
        <v>2401</v>
      </c>
      <c r="AL29" s="1488" t="s">
        <v>2395</v>
      </c>
      <c r="AM29" s="1488" t="s">
        <v>2438</v>
      </c>
      <c r="AN29" s="1488">
        <v>0</v>
      </c>
      <c r="AO29" s="1530">
        <v>0</v>
      </c>
      <c r="AP29" s="1022"/>
      <c r="AQ29" s="959"/>
      <c r="AR29" s="1023" t="s">
        <v>1164</v>
      </c>
      <c r="AS29" s="1024" t="s">
        <v>1166</v>
      </c>
      <c r="AT29" s="1024" t="s">
        <v>1167</v>
      </c>
      <c r="AU29" s="959"/>
      <c r="AV29" s="1973"/>
      <c r="AW29" s="959"/>
      <c r="AX29" s="959"/>
      <c r="AY29" s="959"/>
      <c r="AZ29" s="959"/>
      <c r="BA29" s="959"/>
      <c r="BB29" s="959"/>
      <c r="BC29" s="959"/>
      <c r="BD29" s="959"/>
      <c r="BE29" s="959"/>
      <c r="BF29" s="959"/>
    </row>
    <row r="30" spans="1:58" ht="15.75">
      <c r="A30" s="959"/>
      <c r="B30" s="967" t="s">
        <v>976</v>
      </c>
      <c r="C30" s="1602"/>
      <c r="D30" s="1603"/>
      <c r="E30" s="1859">
        <v>1855</v>
      </c>
      <c r="F30" s="1860">
        <v>30</v>
      </c>
      <c r="G30" s="1860">
        <v>0</v>
      </c>
      <c r="H30" s="1860">
        <v>0</v>
      </c>
      <c r="I30" s="1860">
        <v>56</v>
      </c>
      <c r="J30" s="1860">
        <v>50</v>
      </c>
      <c r="K30" s="1860">
        <v>13</v>
      </c>
      <c r="L30" s="1860">
        <v>0</v>
      </c>
      <c r="M30" s="1860">
        <v>0</v>
      </c>
      <c r="N30" s="1860">
        <v>10</v>
      </c>
      <c r="O30" s="1860">
        <v>0</v>
      </c>
      <c r="P30" s="1860">
        <v>80</v>
      </c>
      <c r="Q30" s="1860">
        <v>11</v>
      </c>
      <c r="R30" s="1860">
        <v>80</v>
      </c>
      <c r="S30" s="1860">
        <v>100</v>
      </c>
      <c r="T30" s="1860">
        <v>100</v>
      </c>
      <c r="U30" s="1860">
        <v>100</v>
      </c>
      <c r="V30" s="1860">
        <v>50</v>
      </c>
      <c r="W30" s="1860">
        <v>150</v>
      </c>
      <c r="X30" s="1860">
        <v>100</v>
      </c>
      <c r="Y30" s="1860">
        <v>100</v>
      </c>
      <c r="Z30" s="1860">
        <v>100</v>
      </c>
      <c r="AA30" s="1860">
        <v>100</v>
      </c>
      <c r="AB30" s="1860">
        <v>0</v>
      </c>
      <c r="AC30" s="1860">
        <v>0</v>
      </c>
      <c r="AD30" s="1860">
        <v>99</v>
      </c>
      <c r="AE30" s="1860">
        <v>4</v>
      </c>
      <c r="AF30" s="1860">
        <v>19</v>
      </c>
      <c r="AG30" s="1860">
        <v>25</v>
      </c>
      <c r="AH30" s="1860">
        <v>25</v>
      </c>
      <c r="AI30" s="1860">
        <v>10</v>
      </c>
      <c r="AJ30" s="1860">
        <v>22</v>
      </c>
      <c r="AK30" s="1860">
        <v>25</v>
      </c>
      <c r="AL30" s="1860">
        <v>48</v>
      </c>
      <c r="AM30" s="1860">
        <v>5</v>
      </c>
      <c r="AN30" s="1860">
        <v>0</v>
      </c>
      <c r="AO30" s="1897">
        <v>113</v>
      </c>
      <c r="AP30" s="1027">
        <f t="shared" ref="AP30:AP41" si="6">SUM(E30:AO30)</f>
        <v>3480</v>
      </c>
      <c r="AQ30" s="959"/>
      <c r="AR30" s="1028">
        <f t="shared" ref="AR30:AR41" si="7">+E10+AA10+AH10</f>
        <v>10798.921999999999</v>
      </c>
      <c r="AS30" s="1034">
        <v>212.71</v>
      </c>
      <c r="AT30" s="1029">
        <f>AR30+AS30</f>
        <v>11011.631999999998</v>
      </c>
      <c r="AU30" s="959"/>
      <c r="AV30" s="1030">
        <f t="shared" ref="AV30:AV40" si="8">+AT30+AP30</f>
        <v>14491.631999999998</v>
      </c>
      <c r="AW30" s="959"/>
      <c r="AX30" s="959"/>
      <c r="AY30" s="959"/>
      <c r="AZ30" s="959"/>
      <c r="BA30" s="959"/>
      <c r="BB30" s="959"/>
      <c r="BC30" s="959"/>
      <c r="BD30" s="959"/>
      <c r="BE30" s="959"/>
      <c r="BF30" s="959"/>
    </row>
    <row r="31" spans="1:58" ht="15.75">
      <c r="A31" s="959"/>
      <c r="B31" s="967" t="s">
        <v>977</v>
      </c>
      <c r="C31" s="1075"/>
      <c r="D31" s="1604"/>
      <c r="E31" s="1861">
        <v>1855</v>
      </c>
      <c r="F31" s="1862">
        <v>30</v>
      </c>
      <c r="G31" s="1862">
        <v>0</v>
      </c>
      <c r="H31" s="1862">
        <v>0</v>
      </c>
      <c r="I31" s="1862">
        <v>56</v>
      </c>
      <c r="J31" s="1862">
        <v>50</v>
      </c>
      <c r="K31" s="1862">
        <v>13</v>
      </c>
      <c r="L31" s="1862">
        <v>0</v>
      </c>
      <c r="M31" s="1862">
        <v>0</v>
      </c>
      <c r="N31" s="1862">
        <v>10</v>
      </c>
      <c r="O31" s="1862">
        <v>0</v>
      </c>
      <c r="P31" s="1862">
        <v>80</v>
      </c>
      <c r="Q31" s="1862">
        <v>11</v>
      </c>
      <c r="R31" s="1862">
        <v>80</v>
      </c>
      <c r="S31" s="1862">
        <v>100</v>
      </c>
      <c r="T31" s="1862">
        <v>100</v>
      </c>
      <c r="U31" s="1862">
        <v>100</v>
      </c>
      <c r="V31" s="1862">
        <v>50</v>
      </c>
      <c r="W31" s="1862">
        <v>150</v>
      </c>
      <c r="X31" s="1862">
        <v>100</v>
      </c>
      <c r="Y31" s="1862">
        <v>100</v>
      </c>
      <c r="Z31" s="1862">
        <v>100</v>
      </c>
      <c r="AA31" s="1862">
        <v>100</v>
      </c>
      <c r="AB31" s="1862">
        <v>0</v>
      </c>
      <c r="AC31" s="1862">
        <v>0</v>
      </c>
      <c r="AD31" s="1862">
        <v>99</v>
      </c>
      <c r="AE31" s="1862">
        <v>4</v>
      </c>
      <c r="AF31" s="1862">
        <v>19</v>
      </c>
      <c r="AG31" s="1862">
        <v>25</v>
      </c>
      <c r="AH31" s="1862">
        <v>25</v>
      </c>
      <c r="AI31" s="1862">
        <v>10</v>
      </c>
      <c r="AJ31" s="1862">
        <v>22</v>
      </c>
      <c r="AK31" s="1862">
        <v>25</v>
      </c>
      <c r="AL31" s="1862">
        <v>48</v>
      </c>
      <c r="AM31" s="1862">
        <v>5</v>
      </c>
      <c r="AN31" s="1862">
        <v>0</v>
      </c>
      <c r="AO31" s="1898">
        <v>113</v>
      </c>
      <c r="AP31" s="1027">
        <f t="shared" si="6"/>
        <v>3480</v>
      </c>
      <c r="AQ31" s="959"/>
      <c r="AR31" s="1033">
        <f t="shared" si="7"/>
        <v>9392.8060000000005</v>
      </c>
      <c r="AS31" s="1034">
        <v>165.024</v>
      </c>
      <c r="AT31" s="1030">
        <f t="shared" ref="AT31:AT41" si="9">AR31+AS31</f>
        <v>9557.83</v>
      </c>
      <c r="AU31" s="959"/>
      <c r="AV31" s="1030">
        <f t="shared" si="8"/>
        <v>13037.83</v>
      </c>
      <c r="AW31" s="959"/>
      <c r="AX31" s="959"/>
      <c r="AY31" s="959"/>
      <c r="AZ31" s="959"/>
      <c r="BA31" s="959"/>
      <c r="BB31" s="959"/>
      <c r="BC31" s="959"/>
      <c r="BD31" s="959"/>
      <c r="BE31" s="959"/>
      <c r="BF31" s="959"/>
    </row>
    <row r="32" spans="1:58" ht="15.75">
      <c r="A32" s="959"/>
      <c r="B32" s="967" t="s">
        <v>795</v>
      </c>
      <c r="C32" s="1075"/>
      <c r="D32" s="1604"/>
      <c r="E32" s="1861">
        <v>1855</v>
      </c>
      <c r="F32" s="1862">
        <v>30</v>
      </c>
      <c r="G32" s="1862">
        <v>0</v>
      </c>
      <c r="H32" s="1862">
        <v>0</v>
      </c>
      <c r="I32" s="1862">
        <v>56</v>
      </c>
      <c r="J32" s="1862">
        <v>50</v>
      </c>
      <c r="K32" s="1862">
        <v>13</v>
      </c>
      <c r="L32" s="1862">
        <v>0</v>
      </c>
      <c r="M32" s="1862">
        <v>0</v>
      </c>
      <c r="N32" s="1862">
        <v>10</v>
      </c>
      <c r="O32" s="1862">
        <v>0</v>
      </c>
      <c r="P32" s="1862">
        <v>80</v>
      </c>
      <c r="Q32" s="1862">
        <v>11</v>
      </c>
      <c r="R32" s="1862">
        <v>80</v>
      </c>
      <c r="S32" s="1862">
        <v>100</v>
      </c>
      <c r="T32" s="1862">
        <v>100</v>
      </c>
      <c r="U32" s="1862">
        <v>100</v>
      </c>
      <c r="V32" s="1862">
        <v>50</v>
      </c>
      <c r="W32" s="1862">
        <v>150</v>
      </c>
      <c r="X32" s="1862">
        <v>100</v>
      </c>
      <c r="Y32" s="1862">
        <v>100</v>
      </c>
      <c r="Z32" s="1862">
        <v>100</v>
      </c>
      <c r="AA32" s="1862">
        <v>100</v>
      </c>
      <c r="AB32" s="1862">
        <v>0</v>
      </c>
      <c r="AC32" s="1862">
        <v>0</v>
      </c>
      <c r="AD32" s="1862">
        <v>99</v>
      </c>
      <c r="AE32" s="1862">
        <v>4</v>
      </c>
      <c r="AF32" s="1862">
        <v>19</v>
      </c>
      <c r="AG32" s="1862">
        <v>25</v>
      </c>
      <c r="AH32" s="1862">
        <v>25</v>
      </c>
      <c r="AI32" s="1862">
        <v>10</v>
      </c>
      <c r="AJ32" s="1862">
        <v>22</v>
      </c>
      <c r="AK32" s="1862">
        <v>25</v>
      </c>
      <c r="AL32" s="1862">
        <v>48</v>
      </c>
      <c r="AM32" s="1862">
        <v>5</v>
      </c>
      <c r="AN32" s="1862">
        <v>0</v>
      </c>
      <c r="AO32" s="1898">
        <v>113</v>
      </c>
      <c r="AP32" s="1027">
        <f t="shared" si="6"/>
        <v>3480</v>
      </c>
      <c r="AQ32" s="959"/>
      <c r="AR32" s="1033">
        <f t="shared" si="7"/>
        <v>9610.598</v>
      </c>
      <c r="AS32" s="1034">
        <v>170.43600000000001</v>
      </c>
      <c r="AT32" s="1030">
        <f t="shared" si="9"/>
        <v>9781.0339999999997</v>
      </c>
      <c r="AU32" s="959"/>
      <c r="AV32" s="1030">
        <f t="shared" si="8"/>
        <v>13261.034</v>
      </c>
      <c r="AW32" s="959"/>
      <c r="AX32" s="959"/>
      <c r="AY32" s="959"/>
      <c r="AZ32" s="959"/>
      <c r="BA32" s="959"/>
      <c r="BB32" s="959"/>
      <c r="BC32" s="959"/>
      <c r="BD32" s="959"/>
      <c r="BE32" s="959"/>
      <c r="BF32" s="959"/>
    </row>
    <row r="33" spans="1:58" ht="15.75">
      <c r="A33" s="959"/>
      <c r="B33" s="967" t="s">
        <v>796</v>
      </c>
      <c r="C33" s="1075"/>
      <c r="D33" s="1604"/>
      <c r="E33" s="1861">
        <v>1855</v>
      </c>
      <c r="F33" s="1862">
        <v>30</v>
      </c>
      <c r="G33" s="1862">
        <v>0</v>
      </c>
      <c r="H33" s="1862">
        <v>0</v>
      </c>
      <c r="I33" s="1862">
        <v>56</v>
      </c>
      <c r="J33" s="1862">
        <v>50</v>
      </c>
      <c r="K33" s="1862">
        <v>13</v>
      </c>
      <c r="L33" s="1862">
        <v>0</v>
      </c>
      <c r="M33" s="1862">
        <v>0</v>
      </c>
      <c r="N33" s="1862">
        <v>10</v>
      </c>
      <c r="O33" s="1862">
        <v>0</v>
      </c>
      <c r="P33" s="1862">
        <v>80</v>
      </c>
      <c r="Q33" s="1862">
        <v>11</v>
      </c>
      <c r="R33" s="1862">
        <v>80</v>
      </c>
      <c r="S33" s="1862">
        <v>100</v>
      </c>
      <c r="T33" s="1862">
        <v>100</v>
      </c>
      <c r="U33" s="1862">
        <v>100</v>
      </c>
      <c r="V33" s="1862">
        <v>50</v>
      </c>
      <c r="W33" s="1862">
        <v>150</v>
      </c>
      <c r="X33" s="1862">
        <v>100</v>
      </c>
      <c r="Y33" s="1862">
        <v>100</v>
      </c>
      <c r="Z33" s="1862">
        <v>100</v>
      </c>
      <c r="AA33" s="1862">
        <v>100</v>
      </c>
      <c r="AB33" s="1862">
        <v>0</v>
      </c>
      <c r="AC33" s="1862">
        <v>0</v>
      </c>
      <c r="AD33" s="1862">
        <v>99</v>
      </c>
      <c r="AE33" s="1862">
        <v>4</v>
      </c>
      <c r="AF33" s="1862">
        <v>19</v>
      </c>
      <c r="AG33" s="1862">
        <v>25</v>
      </c>
      <c r="AH33" s="1862">
        <v>25</v>
      </c>
      <c r="AI33" s="1862">
        <v>10</v>
      </c>
      <c r="AJ33" s="1862">
        <v>22</v>
      </c>
      <c r="AK33" s="1862">
        <v>25</v>
      </c>
      <c r="AL33" s="1862">
        <v>48</v>
      </c>
      <c r="AM33" s="1862">
        <v>5</v>
      </c>
      <c r="AN33" s="1862">
        <v>0</v>
      </c>
      <c r="AO33" s="1898">
        <v>113</v>
      </c>
      <c r="AP33" s="1027">
        <f t="shared" si="6"/>
        <v>3480</v>
      </c>
      <c r="AQ33" s="959"/>
      <c r="AR33" s="1033">
        <f t="shared" si="7"/>
        <v>8535.2029999999995</v>
      </c>
      <c r="AS33" s="1034">
        <v>198.52600000000001</v>
      </c>
      <c r="AT33" s="1030">
        <f t="shared" si="9"/>
        <v>8733.7289999999994</v>
      </c>
      <c r="AU33" s="959"/>
      <c r="AV33" s="1030">
        <f t="shared" si="8"/>
        <v>12213.728999999999</v>
      </c>
      <c r="AW33" s="959"/>
      <c r="AX33" s="959"/>
      <c r="AY33" s="959"/>
      <c r="AZ33" s="959"/>
      <c r="BA33" s="959"/>
      <c r="BB33" s="959"/>
      <c r="BC33" s="959"/>
      <c r="BD33" s="959"/>
      <c r="BE33" s="959"/>
      <c r="BF33" s="959"/>
    </row>
    <row r="34" spans="1:58" ht="15.75">
      <c r="A34" s="959"/>
      <c r="B34" s="967" t="s">
        <v>797</v>
      </c>
      <c r="C34" s="1075"/>
      <c r="D34" s="1604"/>
      <c r="E34" s="1861">
        <v>1855</v>
      </c>
      <c r="F34" s="1862">
        <v>30</v>
      </c>
      <c r="G34" s="1862">
        <v>0</v>
      </c>
      <c r="H34" s="1862">
        <v>0</v>
      </c>
      <c r="I34" s="1862">
        <v>56</v>
      </c>
      <c r="J34" s="1862">
        <v>50</v>
      </c>
      <c r="K34" s="1862">
        <v>13</v>
      </c>
      <c r="L34" s="1862">
        <v>0</v>
      </c>
      <c r="M34" s="1862">
        <v>0</v>
      </c>
      <c r="N34" s="1862">
        <v>10</v>
      </c>
      <c r="O34" s="1862">
        <v>0</v>
      </c>
      <c r="P34" s="1862">
        <v>80</v>
      </c>
      <c r="Q34" s="1862">
        <v>11</v>
      </c>
      <c r="R34" s="1862">
        <v>80</v>
      </c>
      <c r="S34" s="1862">
        <v>100</v>
      </c>
      <c r="T34" s="1862">
        <v>100</v>
      </c>
      <c r="U34" s="1862">
        <v>100</v>
      </c>
      <c r="V34" s="1862">
        <v>50</v>
      </c>
      <c r="W34" s="1862">
        <v>150</v>
      </c>
      <c r="X34" s="1862">
        <v>100</v>
      </c>
      <c r="Y34" s="1862">
        <v>100</v>
      </c>
      <c r="Z34" s="1862">
        <v>100</v>
      </c>
      <c r="AA34" s="1862">
        <v>100</v>
      </c>
      <c r="AB34" s="1862">
        <v>0</v>
      </c>
      <c r="AC34" s="1862">
        <v>0</v>
      </c>
      <c r="AD34" s="1862">
        <v>99</v>
      </c>
      <c r="AE34" s="1862">
        <v>4</v>
      </c>
      <c r="AF34" s="1862">
        <v>19</v>
      </c>
      <c r="AG34" s="1862">
        <v>25</v>
      </c>
      <c r="AH34" s="1862">
        <v>25</v>
      </c>
      <c r="AI34" s="1862">
        <v>10</v>
      </c>
      <c r="AJ34" s="1862">
        <v>22</v>
      </c>
      <c r="AK34" s="1862">
        <v>25</v>
      </c>
      <c r="AL34" s="1862">
        <v>48</v>
      </c>
      <c r="AM34" s="1862">
        <v>5</v>
      </c>
      <c r="AN34" s="1862">
        <v>0</v>
      </c>
      <c r="AO34" s="1898">
        <v>113</v>
      </c>
      <c r="AP34" s="1027">
        <f t="shared" si="6"/>
        <v>3480</v>
      </c>
      <c r="AQ34" s="959"/>
      <c r="AR34" s="1033">
        <f t="shared" si="7"/>
        <v>9215.630000000001</v>
      </c>
      <c r="AS34" s="1034">
        <v>175.55600000000001</v>
      </c>
      <c r="AT34" s="1030">
        <f t="shared" si="9"/>
        <v>9391.1860000000015</v>
      </c>
      <c r="AU34" s="959"/>
      <c r="AV34" s="1030">
        <f t="shared" si="8"/>
        <v>12871.186000000002</v>
      </c>
      <c r="AW34" s="959"/>
      <c r="AX34" s="959"/>
      <c r="AY34" s="959"/>
      <c r="AZ34" s="959"/>
      <c r="BA34" s="959"/>
      <c r="BB34" s="959"/>
      <c r="BC34" s="959"/>
      <c r="BD34" s="959"/>
      <c r="BE34" s="959"/>
      <c r="BF34" s="959"/>
    </row>
    <row r="35" spans="1:58" ht="15.75">
      <c r="A35" s="959"/>
      <c r="B35" s="967" t="s">
        <v>980</v>
      </c>
      <c r="C35" s="1075"/>
      <c r="D35" s="1604"/>
      <c r="E35" s="1861">
        <v>1950</v>
      </c>
      <c r="F35" s="1862">
        <v>30</v>
      </c>
      <c r="G35" s="1862">
        <v>0</v>
      </c>
      <c r="H35" s="1862">
        <v>0</v>
      </c>
      <c r="I35" s="1862">
        <v>56</v>
      </c>
      <c r="J35" s="1862">
        <v>50</v>
      </c>
      <c r="K35" s="1862">
        <v>13</v>
      </c>
      <c r="L35" s="1862">
        <v>0</v>
      </c>
      <c r="M35" s="1862">
        <v>0</v>
      </c>
      <c r="N35" s="1862">
        <v>10</v>
      </c>
      <c r="O35" s="1862">
        <v>50</v>
      </c>
      <c r="P35" s="1862">
        <v>80</v>
      </c>
      <c r="Q35" s="1862">
        <v>11</v>
      </c>
      <c r="R35" s="1862">
        <v>80</v>
      </c>
      <c r="S35" s="1862">
        <v>100</v>
      </c>
      <c r="T35" s="1862">
        <v>100</v>
      </c>
      <c r="U35" s="1862">
        <v>100</v>
      </c>
      <c r="V35" s="1862">
        <v>50</v>
      </c>
      <c r="W35" s="1862">
        <v>150</v>
      </c>
      <c r="X35" s="1862">
        <v>100</v>
      </c>
      <c r="Y35" s="1862">
        <v>100</v>
      </c>
      <c r="Z35" s="1862">
        <v>100</v>
      </c>
      <c r="AA35" s="1862">
        <v>100</v>
      </c>
      <c r="AB35" s="1862">
        <v>0</v>
      </c>
      <c r="AC35" s="1862">
        <v>0</v>
      </c>
      <c r="AD35" s="1862">
        <v>80</v>
      </c>
      <c r="AE35" s="1862">
        <v>4</v>
      </c>
      <c r="AF35" s="1862">
        <v>19</v>
      </c>
      <c r="AG35" s="1862">
        <v>25</v>
      </c>
      <c r="AH35" s="1862">
        <v>25</v>
      </c>
      <c r="AI35" s="1862">
        <v>10</v>
      </c>
      <c r="AJ35" s="1862">
        <v>22</v>
      </c>
      <c r="AK35" s="1862">
        <v>25</v>
      </c>
      <c r="AL35" s="1862">
        <v>48</v>
      </c>
      <c r="AM35" s="1862">
        <v>5</v>
      </c>
      <c r="AN35" s="1862">
        <v>0</v>
      </c>
      <c r="AO35" s="1898">
        <v>118</v>
      </c>
      <c r="AP35" s="1027">
        <f t="shared" si="6"/>
        <v>3611</v>
      </c>
      <c r="AQ35" s="959"/>
      <c r="AR35" s="1033">
        <f t="shared" si="7"/>
        <v>12611.232</v>
      </c>
      <c r="AS35" s="1034">
        <v>183.12100000000001</v>
      </c>
      <c r="AT35" s="1030">
        <f t="shared" si="9"/>
        <v>12794.352999999999</v>
      </c>
      <c r="AU35" s="959"/>
      <c r="AV35" s="1030">
        <f t="shared" si="8"/>
        <v>16405.352999999999</v>
      </c>
      <c r="AW35" s="959"/>
      <c r="AX35" s="959"/>
      <c r="AY35" s="959"/>
      <c r="AZ35" s="959"/>
      <c r="BA35" s="959"/>
      <c r="BB35" s="959"/>
      <c r="BC35" s="959"/>
      <c r="BD35" s="959"/>
      <c r="BE35" s="959"/>
      <c r="BF35" s="959"/>
    </row>
    <row r="36" spans="1:58" ht="15.75">
      <c r="A36" s="959"/>
      <c r="B36" s="967" t="s">
        <v>1131</v>
      </c>
      <c r="C36" s="1075"/>
      <c r="D36" s="1604"/>
      <c r="E36" s="1861">
        <v>1950</v>
      </c>
      <c r="F36" s="1862">
        <v>30</v>
      </c>
      <c r="G36" s="1862">
        <v>0</v>
      </c>
      <c r="H36" s="1862">
        <v>0</v>
      </c>
      <c r="I36" s="1862">
        <v>56</v>
      </c>
      <c r="J36" s="1862">
        <v>50</v>
      </c>
      <c r="K36" s="1862">
        <v>13</v>
      </c>
      <c r="L36" s="1862">
        <v>0</v>
      </c>
      <c r="M36" s="1862">
        <v>0</v>
      </c>
      <c r="N36" s="1862">
        <v>10</v>
      </c>
      <c r="O36" s="1862">
        <v>50</v>
      </c>
      <c r="P36" s="1862">
        <v>80</v>
      </c>
      <c r="Q36" s="1862">
        <v>11</v>
      </c>
      <c r="R36" s="1862">
        <v>80</v>
      </c>
      <c r="S36" s="1862">
        <v>100</v>
      </c>
      <c r="T36" s="1862">
        <v>100</v>
      </c>
      <c r="U36" s="1862">
        <v>100</v>
      </c>
      <c r="V36" s="1862">
        <v>50</v>
      </c>
      <c r="W36" s="1862">
        <v>150</v>
      </c>
      <c r="X36" s="1862">
        <v>100</v>
      </c>
      <c r="Y36" s="1862">
        <v>100</v>
      </c>
      <c r="Z36" s="1862">
        <v>0</v>
      </c>
      <c r="AA36" s="1862">
        <v>0</v>
      </c>
      <c r="AB36" s="1862">
        <v>100</v>
      </c>
      <c r="AC36" s="1862">
        <v>100</v>
      </c>
      <c r="AD36" s="1862">
        <v>80</v>
      </c>
      <c r="AE36" s="1862">
        <v>4</v>
      </c>
      <c r="AF36" s="1862">
        <v>19</v>
      </c>
      <c r="AG36" s="1862">
        <v>25</v>
      </c>
      <c r="AH36" s="1862">
        <v>25</v>
      </c>
      <c r="AI36" s="1862">
        <v>10</v>
      </c>
      <c r="AJ36" s="1862">
        <v>22</v>
      </c>
      <c r="AK36" s="1862">
        <v>25</v>
      </c>
      <c r="AL36" s="1862">
        <v>48</v>
      </c>
      <c r="AM36" s="1862">
        <v>1</v>
      </c>
      <c r="AN36" s="1862">
        <v>0</v>
      </c>
      <c r="AO36" s="1898">
        <v>118</v>
      </c>
      <c r="AP36" s="1027">
        <f t="shared" si="6"/>
        <v>3607</v>
      </c>
      <c r="AQ36" s="959"/>
      <c r="AR36" s="1033">
        <f t="shared" si="7"/>
        <v>13337.065000000001</v>
      </c>
      <c r="AS36" s="1034">
        <v>158.399</v>
      </c>
      <c r="AT36" s="1030">
        <f t="shared" si="9"/>
        <v>13495.464</v>
      </c>
      <c r="AU36" s="959"/>
      <c r="AV36" s="1030">
        <f t="shared" si="8"/>
        <v>17102.464</v>
      </c>
      <c r="AW36" s="959"/>
      <c r="AX36" s="959"/>
      <c r="AY36" s="959"/>
      <c r="AZ36" s="959"/>
      <c r="BA36" s="959"/>
      <c r="BB36" s="959"/>
      <c r="BC36" s="959"/>
      <c r="BD36" s="959"/>
      <c r="BE36" s="959"/>
      <c r="BF36" s="959"/>
    </row>
    <row r="37" spans="1:58" ht="15.75">
      <c r="A37" s="959"/>
      <c r="B37" s="967" t="s">
        <v>982</v>
      </c>
      <c r="C37" s="1075"/>
      <c r="D37" s="1604"/>
      <c r="E37" s="1861">
        <v>1950</v>
      </c>
      <c r="F37" s="1862">
        <v>30</v>
      </c>
      <c r="G37" s="1862">
        <v>0</v>
      </c>
      <c r="H37" s="1862">
        <v>0</v>
      </c>
      <c r="I37" s="1862">
        <v>56</v>
      </c>
      <c r="J37" s="1862">
        <v>50</v>
      </c>
      <c r="K37" s="1862">
        <v>13</v>
      </c>
      <c r="L37" s="1862">
        <v>0</v>
      </c>
      <c r="M37" s="1862">
        <v>0</v>
      </c>
      <c r="N37" s="1862">
        <v>10</v>
      </c>
      <c r="O37" s="1862">
        <v>50</v>
      </c>
      <c r="P37" s="1862">
        <v>80</v>
      </c>
      <c r="Q37" s="1862">
        <v>11</v>
      </c>
      <c r="R37" s="1862">
        <v>80</v>
      </c>
      <c r="S37" s="1862">
        <v>100</v>
      </c>
      <c r="T37" s="1862">
        <v>100</v>
      </c>
      <c r="U37" s="1862">
        <v>100</v>
      </c>
      <c r="V37" s="1862">
        <v>50</v>
      </c>
      <c r="W37" s="1862">
        <v>150</v>
      </c>
      <c r="X37" s="1862">
        <v>100</v>
      </c>
      <c r="Y37" s="1862">
        <v>100</v>
      </c>
      <c r="Z37" s="1862">
        <v>0</v>
      </c>
      <c r="AA37" s="1862">
        <v>0</v>
      </c>
      <c r="AB37" s="1862">
        <v>100</v>
      </c>
      <c r="AC37" s="1862">
        <v>100</v>
      </c>
      <c r="AD37" s="1862">
        <v>80</v>
      </c>
      <c r="AE37" s="1862">
        <v>4</v>
      </c>
      <c r="AF37" s="1862">
        <v>19</v>
      </c>
      <c r="AG37" s="1862">
        <v>25</v>
      </c>
      <c r="AH37" s="1862">
        <v>25</v>
      </c>
      <c r="AI37" s="1862">
        <v>10</v>
      </c>
      <c r="AJ37" s="1862">
        <v>22</v>
      </c>
      <c r="AK37" s="1862">
        <v>25</v>
      </c>
      <c r="AL37" s="1862">
        <v>48</v>
      </c>
      <c r="AM37" s="1862">
        <v>1</v>
      </c>
      <c r="AN37" s="1862">
        <v>0</v>
      </c>
      <c r="AO37" s="1898">
        <v>118</v>
      </c>
      <c r="AP37" s="1027">
        <f t="shared" si="6"/>
        <v>3607</v>
      </c>
      <c r="AQ37" s="959"/>
      <c r="AR37" s="1033">
        <f t="shared" si="7"/>
        <v>13032.865</v>
      </c>
      <c r="AS37" s="1034">
        <v>170.542</v>
      </c>
      <c r="AT37" s="1030">
        <f t="shared" si="9"/>
        <v>13203.406999999999</v>
      </c>
      <c r="AU37" s="959"/>
      <c r="AV37" s="1030">
        <f t="shared" si="8"/>
        <v>16810.406999999999</v>
      </c>
      <c r="AW37" s="959"/>
      <c r="AX37" s="959"/>
      <c r="AY37" s="959"/>
      <c r="AZ37" s="959"/>
      <c r="BA37" s="959"/>
      <c r="BB37" s="959"/>
      <c r="BC37" s="959"/>
      <c r="BD37" s="959"/>
      <c r="BE37" s="959"/>
      <c r="BF37" s="959"/>
    </row>
    <row r="38" spans="1:58" ht="15.75">
      <c r="A38" s="959"/>
      <c r="B38" s="967" t="s">
        <v>1132</v>
      </c>
      <c r="C38" s="1075"/>
      <c r="D38" s="1604"/>
      <c r="E38" s="1861">
        <v>1950</v>
      </c>
      <c r="F38" s="1862">
        <v>30</v>
      </c>
      <c r="G38" s="1862">
        <v>0</v>
      </c>
      <c r="H38" s="1862">
        <v>0</v>
      </c>
      <c r="I38" s="1862">
        <v>56</v>
      </c>
      <c r="J38" s="1862">
        <v>50</v>
      </c>
      <c r="K38" s="1862">
        <v>13</v>
      </c>
      <c r="L38" s="1862">
        <v>0</v>
      </c>
      <c r="M38" s="1862">
        <v>0</v>
      </c>
      <c r="N38" s="1862">
        <v>10</v>
      </c>
      <c r="O38" s="1862">
        <v>50</v>
      </c>
      <c r="P38" s="1862">
        <v>80</v>
      </c>
      <c r="Q38" s="1862">
        <v>11</v>
      </c>
      <c r="R38" s="1862">
        <v>80</v>
      </c>
      <c r="S38" s="1862">
        <v>100</v>
      </c>
      <c r="T38" s="1862">
        <v>100</v>
      </c>
      <c r="U38" s="1862">
        <v>100</v>
      </c>
      <c r="V38" s="1862">
        <v>50</v>
      </c>
      <c r="W38" s="1862">
        <v>150</v>
      </c>
      <c r="X38" s="1862">
        <v>100</v>
      </c>
      <c r="Y38" s="1862">
        <v>100</v>
      </c>
      <c r="Z38" s="1862">
        <v>0</v>
      </c>
      <c r="AA38" s="1862">
        <v>0</v>
      </c>
      <c r="AB38" s="1862">
        <v>100</v>
      </c>
      <c r="AC38" s="1862">
        <v>100</v>
      </c>
      <c r="AD38" s="1862">
        <v>80</v>
      </c>
      <c r="AE38" s="1862">
        <v>0</v>
      </c>
      <c r="AF38" s="1862">
        <v>19</v>
      </c>
      <c r="AG38" s="1862">
        <v>25</v>
      </c>
      <c r="AH38" s="1862">
        <v>25</v>
      </c>
      <c r="AI38" s="1862">
        <v>10</v>
      </c>
      <c r="AJ38" s="1862">
        <v>22</v>
      </c>
      <c r="AK38" s="1862">
        <v>25</v>
      </c>
      <c r="AL38" s="1862">
        <v>48</v>
      </c>
      <c r="AM38" s="1862">
        <v>3</v>
      </c>
      <c r="AN38" s="1862">
        <v>0</v>
      </c>
      <c r="AO38" s="1898">
        <v>118</v>
      </c>
      <c r="AP38" s="1027">
        <f t="shared" si="6"/>
        <v>3605</v>
      </c>
      <c r="AQ38" s="959"/>
      <c r="AR38" s="1033">
        <f t="shared" si="7"/>
        <v>11480.695</v>
      </c>
      <c r="AS38" s="1034">
        <v>181.375</v>
      </c>
      <c r="AT38" s="1030">
        <f t="shared" si="9"/>
        <v>11662.07</v>
      </c>
      <c r="AU38" s="959"/>
      <c r="AV38" s="1030">
        <f t="shared" si="8"/>
        <v>15267.07</v>
      </c>
      <c r="AW38" s="959"/>
      <c r="AX38" s="959"/>
      <c r="AY38" s="959"/>
      <c r="AZ38" s="959"/>
      <c r="BA38" s="959"/>
      <c r="BB38" s="959"/>
      <c r="BC38" s="959"/>
      <c r="BD38" s="959"/>
      <c r="BE38" s="959"/>
      <c r="BF38" s="959"/>
    </row>
    <row r="39" spans="1:58" ht="15.75">
      <c r="A39" s="959"/>
      <c r="B39" s="967" t="s">
        <v>984</v>
      </c>
      <c r="C39" s="1075"/>
      <c r="D39" s="1604"/>
      <c r="E39" s="1861">
        <v>1950</v>
      </c>
      <c r="F39" s="1862">
        <v>30</v>
      </c>
      <c r="G39" s="1862">
        <v>0</v>
      </c>
      <c r="H39" s="1862">
        <v>0</v>
      </c>
      <c r="I39" s="1862">
        <v>56</v>
      </c>
      <c r="J39" s="1862">
        <v>50</v>
      </c>
      <c r="K39" s="1862">
        <v>13</v>
      </c>
      <c r="L39" s="1862">
        <v>0</v>
      </c>
      <c r="M39" s="1862">
        <v>0</v>
      </c>
      <c r="N39" s="1862">
        <v>10</v>
      </c>
      <c r="O39" s="1862">
        <v>50</v>
      </c>
      <c r="P39" s="1862">
        <v>80</v>
      </c>
      <c r="Q39" s="1862">
        <v>11</v>
      </c>
      <c r="R39" s="1862">
        <v>80</v>
      </c>
      <c r="S39" s="1862">
        <v>100</v>
      </c>
      <c r="T39" s="1862">
        <v>100</v>
      </c>
      <c r="U39" s="1862">
        <v>100</v>
      </c>
      <c r="V39" s="1862">
        <v>50</v>
      </c>
      <c r="W39" s="1862">
        <v>150</v>
      </c>
      <c r="X39" s="1862">
        <v>100</v>
      </c>
      <c r="Y39" s="1862">
        <v>100</v>
      </c>
      <c r="Z39" s="1862">
        <v>0</v>
      </c>
      <c r="AA39" s="1862">
        <v>0</v>
      </c>
      <c r="AB39" s="1862">
        <v>100</v>
      </c>
      <c r="AC39" s="1862">
        <v>100</v>
      </c>
      <c r="AD39" s="1862">
        <v>80</v>
      </c>
      <c r="AE39" s="1862">
        <v>0</v>
      </c>
      <c r="AF39" s="1862">
        <v>19</v>
      </c>
      <c r="AG39" s="1862">
        <v>25</v>
      </c>
      <c r="AH39" s="1862">
        <v>25</v>
      </c>
      <c r="AI39" s="1862">
        <v>10</v>
      </c>
      <c r="AJ39" s="1862">
        <v>22</v>
      </c>
      <c r="AK39" s="1862">
        <v>25</v>
      </c>
      <c r="AL39" s="1862">
        <v>48</v>
      </c>
      <c r="AM39" s="1862">
        <v>5.0004786979415989</v>
      </c>
      <c r="AN39" s="1862">
        <v>0</v>
      </c>
      <c r="AO39" s="1898">
        <v>118</v>
      </c>
      <c r="AP39" s="1027">
        <f t="shared" si="6"/>
        <v>3607.0004786979416</v>
      </c>
      <c r="AQ39" s="959"/>
      <c r="AR39" s="1033">
        <f t="shared" si="7"/>
        <v>9182.7070000000003</v>
      </c>
      <c r="AS39" s="1034">
        <v>102.977</v>
      </c>
      <c r="AT39" s="1030">
        <f t="shared" si="9"/>
        <v>9285.6840000000011</v>
      </c>
      <c r="AU39" s="959"/>
      <c r="AV39" s="1030">
        <f t="shared" si="8"/>
        <v>12892.684478697942</v>
      </c>
      <c r="AW39" s="959"/>
      <c r="AX39" s="959"/>
      <c r="AY39" s="959"/>
      <c r="AZ39" s="959"/>
      <c r="BA39" s="959"/>
      <c r="BB39" s="959"/>
      <c r="BC39" s="959"/>
      <c r="BD39" s="959"/>
      <c r="BE39" s="959"/>
      <c r="BF39" s="959"/>
    </row>
    <row r="40" spans="1:58" ht="15.75">
      <c r="A40" s="959"/>
      <c r="B40" s="967" t="s">
        <v>985</v>
      </c>
      <c r="C40" s="1075"/>
      <c r="D40" s="1604"/>
      <c r="E40" s="1861">
        <v>1855</v>
      </c>
      <c r="F40" s="1862">
        <v>30</v>
      </c>
      <c r="G40" s="1862">
        <v>0</v>
      </c>
      <c r="H40" s="1862">
        <v>0</v>
      </c>
      <c r="I40" s="1862">
        <v>56</v>
      </c>
      <c r="J40" s="1862">
        <v>50</v>
      </c>
      <c r="K40" s="1862">
        <v>13</v>
      </c>
      <c r="L40" s="1862">
        <v>0</v>
      </c>
      <c r="M40" s="1862">
        <v>0</v>
      </c>
      <c r="N40" s="1862">
        <v>10</v>
      </c>
      <c r="O40" s="1862">
        <v>0</v>
      </c>
      <c r="P40" s="1862">
        <v>80</v>
      </c>
      <c r="Q40" s="1862">
        <v>11</v>
      </c>
      <c r="R40" s="1862">
        <v>80</v>
      </c>
      <c r="S40" s="1862">
        <v>100</v>
      </c>
      <c r="T40" s="1862">
        <v>100</v>
      </c>
      <c r="U40" s="1862">
        <v>100</v>
      </c>
      <c r="V40" s="1862">
        <v>50</v>
      </c>
      <c r="W40" s="1862">
        <v>150</v>
      </c>
      <c r="X40" s="1862">
        <v>100</v>
      </c>
      <c r="Y40" s="1862">
        <v>100</v>
      </c>
      <c r="Z40" s="1862">
        <v>0</v>
      </c>
      <c r="AA40" s="1862">
        <v>0</v>
      </c>
      <c r="AB40" s="1862">
        <v>100</v>
      </c>
      <c r="AC40" s="1862">
        <v>100</v>
      </c>
      <c r="AD40" s="1862">
        <v>99</v>
      </c>
      <c r="AE40" s="1862">
        <v>0</v>
      </c>
      <c r="AF40" s="1862">
        <v>19</v>
      </c>
      <c r="AG40" s="1862">
        <v>25</v>
      </c>
      <c r="AH40" s="1862">
        <v>25</v>
      </c>
      <c r="AI40" s="1862">
        <v>10</v>
      </c>
      <c r="AJ40" s="1862">
        <v>22</v>
      </c>
      <c r="AK40" s="1862">
        <v>25</v>
      </c>
      <c r="AL40" s="1862">
        <v>48</v>
      </c>
      <c r="AM40" s="1862">
        <v>5</v>
      </c>
      <c r="AN40" s="1862">
        <v>0</v>
      </c>
      <c r="AO40" s="1898">
        <v>112</v>
      </c>
      <c r="AP40" s="1027">
        <f t="shared" si="6"/>
        <v>3475</v>
      </c>
      <c r="AQ40" s="1075"/>
      <c r="AR40" s="1033">
        <f t="shared" si="7"/>
        <v>9592.36</v>
      </c>
      <c r="AS40" s="1034">
        <v>208.98599999999999</v>
      </c>
      <c r="AT40" s="1030">
        <f t="shared" si="9"/>
        <v>9801.3460000000014</v>
      </c>
      <c r="AU40" s="959"/>
      <c r="AV40" s="1030">
        <f t="shared" si="8"/>
        <v>13276.346000000001</v>
      </c>
      <c r="AW40" s="959"/>
      <c r="AX40" s="959"/>
      <c r="AY40" s="959"/>
      <c r="AZ40" s="959"/>
      <c r="BA40" s="959"/>
      <c r="BB40" s="959"/>
      <c r="BC40" s="959"/>
      <c r="BD40" s="959"/>
      <c r="BE40" s="959"/>
      <c r="BF40" s="959"/>
    </row>
    <row r="41" spans="1:58" ht="16.5" thickBot="1">
      <c r="A41" s="959"/>
      <c r="B41" s="967" t="s">
        <v>986</v>
      </c>
      <c r="C41" s="1605"/>
      <c r="D41" s="1606"/>
      <c r="E41" s="1863">
        <v>1855</v>
      </c>
      <c r="F41" s="1864">
        <v>30</v>
      </c>
      <c r="G41" s="1864">
        <v>0</v>
      </c>
      <c r="H41" s="1864">
        <v>0</v>
      </c>
      <c r="I41" s="1864">
        <v>56</v>
      </c>
      <c r="J41" s="1864">
        <v>50</v>
      </c>
      <c r="K41" s="1864">
        <v>13</v>
      </c>
      <c r="L41" s="1864">
        <v>0</v>
      </c>
      <c r="M41" s="1864">
        <v>0</v>
      </c>
      <c r="N41" s="1864">
        <v>10</v>
      </c>
      <c r="O41" s="1864">
        <v>0</v>
      </c>
      <c r="P41" s="1864">
        <v>80</v>
      </c>
      <c r="Q41" s="1864">
        <v>11</v>
      </c>
      <c r="R41" s="1864">
        <v>80</v>
      </c>
      <c r="S41" s="1864">
        <v>100</v>
      </c>
      <c r="T41" s="1864">
        <v>100</v>
      </c>
      <c r="U41" s="1864">
        <v>100</v>
      </c>
      <c r="V41" s="1864">
        <v>50</v>
      </c>
      <c r="W41" s="1864">
        <v>150</v>
      </c>
      <c r="X41" s="1864">
        <v>100</v>
      </c>
      <c r="Y41" s="1864">
        <v>100</v>
      </c>
      <c r="Z41" s="1864">
        <v>0</v>
      </c>
      <c r="AA41" s="1864">
        <v>0</v>
      </c>
      <c r="AB41" s="1864">
        <v>100</v>
      </c>
      <c r="AC41" s="1864">
        <v>100</v>
      </c>
      <c r="AD41" s="1864">
        <v>99</v>
      </c>
      <c r="AE41" s="1864">
        <v>0</v>
      </c>
      <c r="AF41" s="1864">
        <v>19</v>
      </c>
      <c r="AG41" s="1864">
        <v>25</v>
      </c>
      <c r="AH41" s="1864">
        <v>25</v>
      </c>
      <c r="AI41" s="1864">
        <v>0</v>
      </c>
      <c r="AJ41" s="1864">
        <v>22</v>
      </c>
      <c r="AK41" s="1864">
        <v>25</v>
      </c>
      <c r="AL41" s="1864">
        <v>48</v>
      </c>
      <c r="AM41" s="1864">
        <v>5</v>
      </c>
      <c r="AN41" s="1864">
        <v>0</v>
      </c>
      <c r="AO41" s="1899">
        <v>112</v>
      </c>
      <c r="AP41" s="1027">
        <f t="shared" si="6"/>
        <v>3465</v>
      </c>
      <c r="AQ41" s="1075"/>
      <c r="AR41" s="1037">
        <f t="shared" si="7"/>
        <v>10215.378999999999</v>
      </c>
      <c r="AS41" s="1034">
        <v>198.98699999999999</v>
      </c>
      <c r="AT41" s="1038">
        <f t="shared" si="9"/>
        <v>10414.365999999998</v>
      </c>
      <c r="AU41" s="959"/>
      <c r="AV41" s="1030">
        <f>+AT41+AP41</f>
        <v>13879.365999999998</v>
      </c>
      <c r="AW41" s="959"/>
      <c r="AX41" s="959"/>
      <c r="AY41" s="959"/>
      <c r="AZ41" s="959"/>
      <c r="BA41" s="959"/>
      <c r="BB41" s="959"/>
      <c r="BC41" s="959"/>
      <c r="BD41" s="959"/>
      <c r="BE41" s="959"/>
      <c r="BF41" s="959"/>
    </row>
    <row r="42" spans="1:58" ht="16.5" thickBot="1">
      <c r="A42" s="959"/>
      <c r="B42" s="1002" t="s">
        <v>111</v>
      </c>
      <c r="C42" s="1065"/>
      <c r="D42" s="1066"/>
      <c r="E42" s="1039">
        <f t="shared" ref="E42:AD42" si="10">SUM(E30:E41)</f>
        <v>22735</v>
      </c>
      <c r="F42" s="1040">
        <f t="shared" si="10"/>
        <v>360</v>
      </c>
      <c r="G42" s="1040">
        <f t="shared" si="10"/>
        <v>0</v>
      </c>
      <c r="H42" s="1040">
        <f t="shared" si="10"/>
        <v>0</v>
      </c>
      <c r="I42" s="1040">
        <f t="shared" si="10"/>
        <v>672</v>
      </c>
      <c r="J42" s="1040">
        <f t="shared" si="10"/>
        <v>600</v>
      </c>
      <c r="K42" s="1040">
        <f t="shared" si="10"/>
        <v>156</v>
      </c>
      <c r="L42" s="1040">
        <f t="shared" si="10"/>
        <v>0</v>
      </c>
      <c r="M42" s="1040">
        <f t="shared" si="10"/>
        <v>0</v>
      </c>
      <c r="N42" s="1040">
        <f t="shared" si="10"/>
        <v>120</v>
      </c>
      <c r="O42" s="1040">
        <f t="shared" si="10"/>
        <v>250</v>
      </c>
      <c r="P42" s="1040">
        <f t="shared" si="10"/>
        <v>960</v>
      </c>
      <c r="Q42" s="1040">
        <f t="shared" si="10"/>
        <v>132</v>
      </c>
      <c r="R42" s="1040">
        <f t="shared" si="10"/>
        <v>960</v>
      </c>
      <c r="S42" s="1040">
        <f t="shared" si="10"/>
        <v>1200</v>
      </c>
      <c r="T42" s="1040">
        <f t="shared" si="10"/>
        <v>1200</v>
      </c>
      <c r="U42" s="1040">
        <f t="shared" si="10"/>
        <v>1200</v>
      </c>
      <c r="V42" s="1040">
        <f t="shared" si="10"/>
        <v>600</v>
      </c>
      <c r="W42" s="1040">
        <f t="shared" si="10"/>
        <v>1800</v>
      </c>
      <c r="X42" s="1040">
        <f t="shared" si="10"/>
        <v>1200</v>
      </c>
      <c r="Y42" s="1040">
        <f t="shared" si="10"/>
        <v>1200</v>
      </c>
      <c r="Z42" s="1040">
        <f t="shared" si="10"/>
        <v>600</v>
      </c>
      <c r="AA42" s="1040">
        <f t="shared" si="10"/>
        <v>600</v>
      </c>
      <c r="AB42" s="1040">
        <f t="shared" si="10"/>
        <v>600</v>
      </c>
      <c r="AC42" s="1040">
        <f t="shared" si="10"/>
        <v>600</v>
      </c>
      <c r="AD42" s="1040">
        <f t="shared" si="10"/>
        <v>1093</v>
      </c>
      <c r="AE42" s="1040">
        <f t="shared" ref="AE42:AJ42" si="11">SUM(AE30:AE41)</f>
        <v>32</v>
      </c>
      <c r="AF42" s="1040">
        <f t="shared" ref="AF42:AI42" si="12">SUM(AF30:AF41)</f>
        <v>228</v>
      </c>
      <c r="AG42" s="1040">
        <f t="shared" si="12"/>
        <v>300</v>
      </c>
      <c r="AH42" s="1040">
        <f t="shared" si="12"/>
        <v>300</v>
      </c>
      <c r="AI42" s="1040">
        <f t="shared" si="12"/>
        <v>110</v>
      </c>
      <c r="AJ42" s="1040">
        <f t="shared" si="11"/>
        <v>264</v>
      </c>
      <c r="AK42" s="1040">
        <f t="shared" ref="AK42:AO42" si="13">SUM(AK30:AK41)</f>
        <v>300</v>
      </c>
      <c r="AL42" s="1040">
        <f t="shared" si="13"/>
        <v>576</v>
      </c>
      <c r="AM42" s="1040">
        <f t="shared" si="13"/>
        <v>50.000478697941602</v>
      </c>
      <c r="AN42" s="1040">
        <f t="shared" si="13"/>
        <v>0</v>
      </c>
      <c r="AO42" s="1040">
        <f t="shared" si="13"/>
        <v>1379</v>
      </c>
      <c r="AP42" s="1003">
        <f>SUM(AP30:AP41)</f>
        <v>42377.000478697941</v>
      </c>
      <c r="AQ42" s="991"/>
      <c r="AR42" s="1003">
        <f>SUM(AR30:AR41)</f>
        <v>127005.462</v>
      </c>
      <c r="AS42" s="1003">
        <f>SUM(AS30:AS41)</f>
        <v>2126.6390000000006</v>
      </c>
      <c r="AT42" s="1003">
        <f>SUM(AT30:AT41)</f>
        <v>129132.10100000002</v>
      </c>
      <c r="AU42" s="959"/>
      <c r="AV42" s="1003">
        <f>SUM(AV30:AV41)</f>
        <v>171509.10147869796</v>
      </c>
      <c r="AW42" s="959"/>
      <c r="AX42" s="959"/>
      <c r="AY42" s="959"/>
      <c r="AZ42" s="959"/>
      <c r="BA42" s="959"/>
      <c r="BB42" s="959"/>
      <c r="BC42" s="959"/>
      <c r="BD42" s="959"/>
      <c r="BE42" s="959"/>
      <c r="BF42" s="959"/>
    </row>
    <row r="43" spans="1:58" ht="16.5" thickBot="1">
      <c r="A43" s="959"/>
      <c r="B43" s="1002" t="s">
        <v>1133</v>
      </c>
      <c r="C43" s="1065"/>
      <c r="D43" s="1066"/>
      <c r="E43" s="1039">
        <f t="shared" ref="E43:AP43" si="14">+E42/12</f>
        <v>1894.5833333333333</v>
      </c>
      <c r="F43" s="1040">
        <f t="shared" si="14"/>
        <v>30</v>
      </c>
      <c r="G43" s="1040">
        <f t="shared" si="14"/>
        <v>0</v>
      </c>
      <c r="H43" s="1040">
        <f t="shared" si="14"/>
        <v>0</v>
      </c>
      <c r="I43" s="1040">
        <f t="shared" si="14"/>
        <v>56</v>
      </c>
      <c r="J43" s="1040">
        <f t="shared" si="14"/>
        <v>50</v>
      </c>
      <c r="K43" s="1040">
        <f t="shared" si="14"/>
        <v>13</v>
      </c>
      <c r="L43" s="1040">
        <f t="shared" si="14"/>
        <v>0</v>
      </c>
      <c r="M43" s="1040">
        <f t="shared" si="14"/>
        <v>0</v>
      </c>
      <c r="N43" s="1040">
        <f t="shared" si="14"/>
        <v>10</v>
      </c>
      <c r="O43" s="1040">
        <f t="shared" si="14"/>
        <v>20.833333333333332</v>
      </c>
      <c r="P43" s="1040">
        <f t="shared" si="14"/>
        <v>80</v>
      </c>
      <c r="Q43" s="1040">
        <f t="shared" si="14"/>
        <v>11</v>
      </c>
      <c r="R43" s="1040">
        <f t="shared" si="14"/>
        <v>80</v>
      </c>
      <c r="S43" s="1040">
        <f t="shared" si="14"/>
        <v>100</v>
      </c>
      <c r="T43" s="1040">
        <f t="shared" si="14"/>
        <v>100</v>
      </c>
      <c r="U43" s="1040">
        <f t="shared" si="14"/>
        <v>100</v>
      </c>
      <c r="V43" s="1040">
        <f t="shared" si="14"/>
        <v>50</v>
      </c>
      <c r="W43" s="1040">
        <f t="shared" si="14"/>
        <v>150</v>
      </c>
      <c r="X43" s="1040">
        <f t="shared" si="14"/>
        <v>100</v>
      </c>
      <c r="Y43" s="1040">
        <f t="shared" si="14"/>
        <v>100</v>
      </c>
      <c r="Z43" s="1040">
        <f t="shared" si="14"/>
        <v>50</v>
      </c>
      <c r="AA43" s="1040">
        <f t="shared" si="14"/>
        <v>50</v>
      </c>
      <c r="AB43" s="1040">
        <f t="shared" si="14"/>
        <v>50</v>
      </c>
      <c r="AC43" s="1040">
        <f t="shared" si="14"/>
        <v>50</v>
      </c>
      <c r="AD43" s="1040">
        <f t="shared" si="14"/>
        <v>91.083333333333329</v>
      </c>
      <c r="AE43" s="1040">
        <f t="shared" ref="AE43:AJ43" si="15">+AE42/12</f>
        <v>2.6666666666666665</v>
      </c>
      <c r="AF43" s="1040">
        <f t="shared" ref="AF43:AI43" si="16">+AF42/12</f>
        <v>19</v>
      </c>
      <c r="AG43" s="1040">
        <f t="shared" si="16"/>
        <v>25</v>
      </c>
      <c r="AH43" s="1040">
        <f t="shared" si="16"/>
        <v>25</v>
      </c>
      <c r="AI43" s="1040">
        <f t="shared" si="16"/>
        <v>9.1666666666666661</v>
      </c>
      <c r="AJ43" s="1040">
        <f t="shared" si="15"/>
        <v>22</v>
      </c>
      <c r="AK43" s="1040">
        <f t="shared" ref="AK43:AO43" si="17">+AK42/12</f>
        <v>25</v>
      </c>
      <c r="AL43" s="1040">
        <f t="shared" si="17"/>
        <v>48</v>
      </c>
      <c r="AM43" s="1040">
        <f t="shared" si="17"/>
        <v>4.1667065581617999</v>
      </c>
      <c r="AN43" s="1040">
        <f t="shared" si="17"/>
        <v>0</v>
      </c>
      <c r="AO43" s="1040">
        <f t="shared" si="17"/>
        <v>114.91666666666667</v>
      </c>
      <c r="AP43" s="1003">
        <f t="shared" si="14"/>
        <v>3531.4167065581619</v>
      </c>
      <c r="AQ43" s="991"/>
      <c r="AR43" s="1003">
        <f>+AR42/12</f>
        <v>10583.788500000001</v>
      </c>
      <c r="AS43" s="1003">
        <f>+AS42/12</f>
        <v>177.21991666666671</v>
      </c>
      <c r="AT43" s="1003">
        <f>+AT42/12</f>
        <v>10761.008416666669</v>
      </c>
      <c r="AU43" s="959"/>
      <c r="AV43" s="1007">
        <f>+AV42/12</f>
        <v>14292.42512322483</v>
      </c>
      <c r="AW43" s="959"/>
      <c r="AX43" s="959"/>
      <c r="AY43" s="959"/>
      <c r="AZ43" s="959"/>
      <c r="BA43" s="959"/>
      <c r="BB43" s="959"/>
      <c r="BC43" s="959"/>
      <c r="BD43" s="959"/>
      <c r="BE43" s="959"/>
      <c r="BF43" s="959"/>
    </row>
    <row r="44" spans="1:58" ht="15.75">
      <c r="A44" s="959"/>
      <c r="B44" s="959"/>
      <c r="C44" s="959"/>
      <c r="D44" s="959"/>
      <c r="E44" s="959"/>
      <c r="F44" s="959"/>
      <c r="G44" s="959"/>
      <c r="H44" s="959"/>
      <c r="I44" s="959"/>
      <c r="J44" s="959"/>
      <c r="K44" s="959"/>
      <c r="L44" s="959"/>
      <c r="M44" s="959"/>
      <c r="N44" s="959"/>
      <c r="O44" s="959"/>
      <c r="P44" s="959"/>
      <c r="Q44" s="959"/>
      <c r="R44" s="959"/>
      <c r="S44" s="959"/>
      <c r="T44" s="959"/>
      <c r="U44" s="959"/>
      <c r="V44" s="959"/>
      <c r="W44" s="959"/>
      <c r="X44" s="959"/>
      <c r="Y44" s="959"/>
      <c r="Z44" s="959"/>
      <c r="AA44" s="959"/>
      <c r="AB44" s="959"/>
      <c r="AC44" s="959"/>
      <c r="AD44" s="959"/>
      <c r="AE44" s="959"/>
      <c r="AF44" s="959"/>
      <c r="AG44" s="959"/>
      <c r="AH44" s="959"/>
      <c r="AI44" s="959"/>
      <c r="AJ44" s="959"/>
      <c r="AK44" s="959"/>
      <c r="AL44" s="959"/>
      <c r="AM44" s="959"/>
      <c r="AN44" s="959"/>
      <c r="AO44" s="959"/>
      <c r="AP44" s="959"/>
      <c r="AQ44" s="959"/>
      <c r="AR44" s="959"/>
      <c r="AS44" s="959"/>
    </row>
    <row r="45" spans="1:58" ht="15.75">
      <c r="A45" s="959"/>
      <c r="B45" s="959"/>
      <c r="C45" s="959"/>
      <c r="D45" s="959"/>
      <c r="E45" s="959"/>
      <c r="F45" s="959"/>
      <c r="G45" s="959"/>
      <c r="H45" s="959"/>
      <c r="I45" s="959"/>
      <c r="J45" s="959"/>
      <c r="K45" s="959"/>
      <c r="L45" s="959"/>
      <c r="M45" s="959"/>
      <c r="N45" s="959"/>
      <c r="O45" s="959"/>
      <c r="P45" s="959"/>
      <c r="Q45" s="959"/>
      <c r="R45" s="1006"/>
      <c r="S45" s="959"/>
      <c r="T45" s="959"/>
      <c r="U45" s="959"/>
      <c r="V45" s="959"/>
      <c r="W45" s="959"/>
      <c r="X45" s="959"/>
      <c r="Y45" s="959"/>
      <c r="Z45" s="959"/>
      <c r="AA45" s="959"/>
      <c r="AB45" s="959"/>
      <c r="AC45" s="959"/>
      <c r="AD45" s="959"/>
      <c r="AE45" s="959"/>
      <c r="AF45" s="959"/>
      <c r="AG45" s="959"/>
      <c r="AH45" s="959"/>
      <c r="AI45" s="959"/>
      <c r="AJ45" s="959"/>
      <c r="AK45" s="959"/>
      <c r="AL45" s="959"/>
      <c r="AM45" s="959"/>
      <c r="AN45" s="959"/>
      <c r="AO45" s="959"/>
      <c r="AP45" s="959"/>
      <c r="AQ45" s="959"/>
    </row>
    <row r="46" spans="1:58" ht="15.75">
      <c r="A46" s="959"/>
      <c r="B46" s="959"/>
      <c r="C46" s="959"/>
      <c r="D46" s="959"/>
      <c r="E46" s="959"/>
      <c r="F46" s="959"/>
      <c r="G46" s="959"/>
      <c r="H46" s="959"/>
      <c r="I46" s="959"/>
      <c r="J46" s="959"/>
      <c r="K46" s="959"/>
      <c r="L46" s="959"/>
      <c r="M46" s="959"/>
      <c r="N46" s="959"/>
      <c r="O46" s="959"/>
      <c r="P46" s="959"/>
      <c r="Q46" s="959"/>
      <c r="R46" s="959"/>
      <c r="S46" s="959"/>
      <c r="T46" s="959"/>
      <c r="U46" s="959"/>
      <c r="V46" s="959"/>
      <c r="W46" s="1006"/>
      <c r="X46" s="959"/>
      <c r="Y46" s="959"/>
      <c r="Z46" s="959"/>
      <c r="AA46" s="959"/>
      <c r="AB46" s="959"/>
      <c r="AC46" s="959"/>
      <c r="AD46" s="959"/>
      <c r="AE46" s="959"/>
      <c r="AF46" s="959"/>
      <c r="AG46" s="959"/>
      <c r="AH46" s="959"/>
      <c r="AI46" s="959"/>
      <c r="AJ46" s="959"/>
      <c r="AK46" s="1006"/>
      <c r="AL46" s="959"/>
      <c r="AM46" s="959"/>
      <c r="AN46" s="959"/>
      <c r="AO46" s="959"/>
      <c r="AP46" s="959"/>
      <c r="AQ46" s="959"/>
    </row>
    <row r="47" spans="1:58" ht="15.75">
      <c r="A47" s="959"/>
      <c r="B47" s="959"/>
      <c r="C47" s="959"/>
      <c r="D47" s="959"/>
      <c r="E47" s="959"/>
      <c r="F47" s="959"/>
      <c r="G47" s="959"/>
      <c r="H47" s="959"/>
      <c r="I47" s="959"/>
      <c r="J47" s="959"/>
      <c r="K47" s="959"/>
      <c r="L47" s="959"/>
      <c r="M47" s="959"/>
      <c r="N47" s="959"/>
      <c r="O47" s="959"/>
      <c r="P47" s="959"/>
      <c r="Q47" s="959"/>
      <c r="R47" s="959"/>
      <c r="S47" s="959"/>
      <c r="T47" s="959"/>
      <c r="U47" s="959"/>
      <c r="V47" s="959"/>
      <c r="W47" s="1006"/>
      <c r="X47" s="959"/>
      <c r="Y47" s="959"/>
      <c r="Z47" s="959"/>
      <c r="AA47" s="959"/>
      <c r="AB47" s="959"/>
      <c r="AC47" s="959"/>
      <c r="AD47" s="959"/>
      <c r="AE47" s="959"/>
      <c r="AF47" s="959"/>
      <c r="AG47" s="959"/>
      <c r="AH47" s="959"/>
      <c r="AI47" s="959"/>
      <c r="AJ47" s="959"/>
      <c r="AK47" s="959"/>
      <c r="AL47" s="959"/>
      <c r="AM47" s="959"/>
      <c r="AN47" s="959"/>
      <c r="AO47" s="959"/>
      <c r="AP47" s="959"/>
      <c r="AQ47" s="959"/>
    </row>
    <row r="48" spans="1:58" ht="15.75">
      <c r="A48" s="959"/>
      <c r="B48" s="959"/>
      <c r="C48" s="959"/>
      <c r="D48" s="959"/>
      <c r="E48" s="959"/>
      <c r="F48" s="959"/>
      <c r="G48" s="959"/>
      <c r="H48" s="959"/>
      <c r="I48" s="959"/>
      <c r="J48" s="959"/>
      <c r="K48" s="959"/>
      <c r="L48" s="959"/>
      <c r="M48" s="959"/>
      <c r="N48" s="959"/>
      <c r="O48" s="959"/>
      <c r="P48" s="959"/>
      <c r="Q48" s="959"/>
      <c r="R48" s="959"/>
      <c r="S48" s="959"/>
      <c r="T48" s="959"/>
      <c r="U48" s="959"/>
      <c r="V48" s="959"/>
      <c r="W48" s="1044"/>
      <c r="X48" s="959"/>
      <c r="Y48" s="959"/>
      <c r="Z48" s="959"/>
      <c r="AA48" s="959"/>
      <c r="AB48" s="959"/>
      <c r="AC48" s="959"/>
      <c r="AD48" s="959"/>
      <c r="AE48" s="959"/>
      <c r="AF48" s="959"/>
      <c r="AG48" s="959"/>
      <c r="AH48" s="959"/>
      <c r="AI48" s="959"/>
      <c r="AJ48" s="959"/>
      <c r="AK48" s="959"/>
      <c r="AL48" s="959"/>
      <c r="AM48" s="959"/>
      <c r="AN48" s="959"/>
      <c r="AO48" s="959"/>
      <c r="AP48" s="959"/>
      <c r="AQ48" s="959"/>
    </row>
    <row r="49" spans="1:43" ht="15.75">
      <c r="A49" s="959"/>
      <c r="B49" s="959"/>
      <c r="C49" s="959"/>
      <c r="D49" s="959"/>
      <c r="E49" s="959"/>
      <c r="F49" s="959"/>
      <c r="G49" s="959"/>
      <c r="H49" s="959"/>
      <c r="I49" s="959"/>
      <c r="J49" s="959"/>
      <c r="K49" s="959"/>
      <c r="L49" s="959"/>
      <c r="M49" s="959"/>
      <c r="N49" s="959"/>
      <c r="O49" s="959"/>
      <c r="P49" s="959"/>
      <c r="Q49" s="959"/>
      <c r="R49" s="959"/>
      <c r="S49" s="959"/>
      <c r="T49" s="959"/>
      <c r="U49" s="959"/>
      <c r="V49" s="959"/>
      <c r="W49" s="959"/>
      <c r="X49" s="959"/>
      <c r="Y49" s="959"/>
      <c r="Z49" s="959"/>
      <c r="AA49" s="959"/>
      <c r="AB49" s="959"/>
      <c r="AC49" s="959"/>
      <c r="AD49" s="959"/>
      <c r="AE49" s="959"/>
      <c r="AF49" s="959"/>
      <c r="AG49" s="959"/>
      <c r="AH49" s="959"/>
      <c r="AI49" s="959"/>
      <c r="AJ49" s="959"/>
      <c r="AK49" s="959"/>
      <c r="AL49" s="959"/>
      <c r="AM49" s="959"/>
      <c r="AN49" s="959"/>
      <c r="AO49" s="959"/>
      <c r="AP49" s="959"/>
      <c r="AQ49" s="959"/>
    </row>
    <row r="50" spans="1:43" ht="15.75">
      <c r="A50" s="959"/>
      <c r="B50" s="959"/>
      <c r="C50" s="959"/>
      <c r="D50" s="959"/>
      <c r="E50" s="959"/>
      <c r="F50" s="959"/>
      <c r="G50" s="959"/>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row>
    <row r="51" spans="1:43" ht="15.75">
      <c r="A51" s="959"/>
      <c r="B51" s="959"/>
      <c r="C51" s="959"/>
      <c r="D51" s="959"/>
      <c r="E51" s="959"/>
      <c r="F51" s="959"/>
      <c r="G51" s="959"/>
      <c r="H51" s="959"/>
      <c r="I51" s="959"/>
      <c r="J51" s="959"/>
      <c r="K51" s="959"/>
      <c r="L51" s="959"/>
      <c r="M51" s="959"/>
      <c r="N51" s="959"/>
      <c r="O51" s="959"/>
      <c r="P51" s="959"/>
      <c r="Q51" s="959"/>
      <c r="R51" s="959"/>
      <c r="S51" s="959"/>
      <c r="T51" s="959"/>
      <c r="U51" s="959"/>
      <c r="V51" s="959"/>
      <c r="W51" s="959"/>
      <c r="X51" s="959"/>
      <c r="Y51" s="959"/>
      <c r="Z51" s="959"/>
      <c r="AA51" s="959"/>
      <c r="AB51" s="959"/>
      <c r="AC51" s="959"/>
      <c r="AD51" s="959"/>
      <c r="AE51" s="959"/>
      <c r="AF51" s="959"/>
      <c r="AG51" s="959"/>
      <c r="AH51" s="959"/>
      <c r="AI51" s="959"/>
      <c r="AJ51" s="959"/>
      <c r="AK51" s="959"/>
      <c r="AL51" s="959"/>
      <c r="AM51" s="959"/>
      <c r="AN51" s="959"/>
      <c r="AO51" s="959"/>
      <c r="AP51" s="959"/>
      <c r="AQ51" s="959"/>
    </row>
    <row r="52" spans="1:43" ht="15.75">
      <c r="A52" s="959"/>
      <c r="B52" s="959"/>
      <c r="C52" s="959"/>
      <c r="D52" s="959"/>
      <c r="E52" s="959"/>
      <c r="F52" s="959"/>
      <c r="G52" s="959"/>
      <c r="H52" s="959"/>
      <c r="I52" s="959"/>
      <c r="J52" s="959"/>
      <c r="K52" s="959"/>
      <c r="L52" s="959"/>
      <c r="M52" s="959"/>
      <c r="N52" s="959"/>
      <c r="O52" s="959"/>
      <c r="P52" s="959"/>
      <c r="Q52" s="959"/>
      <c r="R52" s="1043"/>
      <c r="S52" s="959"/>
      <c r="T52" s="1044"/>
      <c r="U52" s="959"/>
      <c r="V52" s="959"/>
      <c r="W52" s="959"/>
      <c r="X52" s="959"/>
      <c r="Y52" s="959"/>
      <c r="Z52" s="959"/>
      <c r="AA52" s="959"/>
      <c r="AB52" s="959"/>
      <c r="AC52" s="959"/>
      <c r="AD52" s="959"/>
      <c r="AE52" s="959"/>
      <c r="AF52" s="959"/>
      <c r="AG52" s="959"/>
      <c r="AH52" s="959"/>
      <c r="AI52" s="959"/>
      <c r="AJ52" s="959"/>
      <c r="AK52" s="959"/>
      <c r="AL52" s="959"/>
      <c r="AM52" s="959"/>
      <c r="AN52" s="959"/>
      <c r="AO52" s="959"/>
      <c r="AP52" s="959"/>
      <c r="AQ52" s="959"/>
    </row>
  </sheetData>
  <mergeCells count="5">
    <mergeCell ref="B5:D6"/>
    <mergeCell ref="E25:AP25"/>
    <mergeCell ref="AV28:AV29"/>
    <mergeCell ref="AC5:AH5"/>
    <mergeCell ref="E5:AA5"/>
  </mergeCells>
  <phoneticPr fontId="135" type="noConversion"/>
  <pageMargins left="0.7" right="0.7" top="0.75" bottom="0.75" header="0.3" footer="0.3"/>
  <pageSetup scale="2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M24"/>
  <sheetViews>
    <sheetView workbookViewId="0">
      <selection activeCell="J24" sqref="J24"/>
    </sheetView>
  </sheetViews>
  <sheetFormatPr defaultRowHeight="15"/>
  <cols>
    <col min="1" max="1" width="1.85546875" customWidth="1"/>
    <col min="2" max="3" width="20.7109375" customWidth="1"/>
    <col min="4" max="4" width="33.140625" bestFit="1" customWidth="1"/>
    <col min="5" max="5" width="20.7109375" customWidth="1"/>
    <col min="6" max="6" width="1.42578125" customWidth="1"/>
    <col min="9" max="9" width="9.7109375" bestFit="1" customWidth="1"/>
    <col min="10" max="10" width="13.5703125" bestFit="1" customWidth="1"/>
    <col min="12" max="12" width="14.5703125" bestFit="1" customWidth="1"/>
  </cols>
  <sheetData>
    <row r="1" spans="1:13" ht="15.75">
      <c r="A1" s="1095"/>
      <c r="B1" s="1996" t="s">
        <v>2</v>
      </c>
      <c r="C1" s="1996"/>
      <c r="D1" s="1996"/>
      <c r="E1" s="1996"/>
      <c r="F1" s="332"/>
      <c r="G1" s="332"/>
      <c r="H1" s="332"/>
      <c r="I1" s="332"/>
      <c r="J1" s="332"/>
      <c r="K1" s="332"/>
      <c r="L1" s="332"/>
      <c r="M1" s="332"/>
    </row>
    <row r="2" spans="1:13">
      <c r="A2" s="1095"/>
      <c r="B2" s="1997" t="s">
        <v>1177</v>
      </c>
      <c r="C2" s="1997"/>
      <c r="D2" s="1997"/>
      <c r="E2" s="1997"/>
      <c r="F2" s="332"/>
      <c r="G2" s="332"/>
      <c r="H2" s="332"/>
      <c r="I2" s="332"/>
      <c r="J2" s="332"/>
      <c r="K2" s="332"/>
      <c r="L2" s="332"/>
      <c r="M2" s="332"/>
    </row>
    <row r="3" spans="1:13">
      <c r="A3" s="1095"/>
      <c r="B3" s="1998"/>
      <c r="C3" s="1998"/>
      <c r="D3" s="1998"/>
      <c r="E3" s="1998"/>
      <c r="F3" s="1096"/>
      <c r="G3" s="1096"/>
      <c r="H3" s="1096"/>
      <c r="I3" s="1096"/>
      <c r="J3" s="1096"/>
      <c r="K3" s="1096"/>
      <c r="L3" s="1096"/>
      <c r="M3" s="1096"/>
    </row>
    <row r="4" spans="1:13">
      <c r="A4" s="1097"/>
      <c r="B4" s="1097"/>
      <c r="C4" s="1097"/>
      <c r="D4" s="1097"/>
      <c r="E4" s="1097"/>
      <c r="F4" s="1097"/>
      <c r="G4" s="1098"/>
      <c r="H4" s="1098"/>
      <c r="I4" s="1098"/>
      <c r="J4" s="1098"/>
      <c r="K4" s="1098"/>
      <c r="L4" s="1098"/>
      <c r="M4" s="1098"/>
    </row>
    <row r="5" spans="1:13">
      <c r="A5" s="1097"/>
      <c r="B5" s="1099" t="s">
        <v>1178</v>
      </c>
      <c r="C5" s="1097"/>
      <c r="D5" s="1097"/>
      <c r="E5" s="1097"/>
      <c r="F5" s="1097"/>
      <c r="G5" s="1098"/>
      <c r="H5" s="1098"/>
      <c r="I5" s="1098"/>
      <c r="J5" s="1098"/>
      <c r="K5" s="1098"/>
      <c r="L5" s="1098"/>
      <c r="M5" s="1098"/>
    </row>
    <row r="6" spans="1:13">
      <c r="A6" s="1097"/>
      <c r="B6" s="1097"/>
      <c r="C6" s="1097"/>
      <c r="D6" s="1097"/>
      <c r="E6" s="1097"/>
      <c r="F6" s="1097"/>
      <c r="G6" s="1098"/>
      <c r="H6" s="1098"/>
      <c r="I6" s="1098"/>
      <c r="J6" s="1098"/>
      <c r="K6" s="1098"/>
      <c r="L6" s="1098"/>
      <c r="M6" s="1098"/>
    </row>
    <row r="7" spans="1:13">
      <c r="A7" s="1097"/>
      <c r="B7" s="1100" t="s">
        <v>1179</v>
      </c>
      <c r="C7" s="1100" t="s">
        <v>1180</v>
      </c>
      <c r="D7" s="1101" t="s">
        <v>284</v>
      </c>
      <c r="E7" s="1102" t="s">
        <v>790</v>
      </c>
      <c r="F7" s="1097"/>
      <c r="G7" s="1098"/>
      <c r="H7" s="1098"/>
      <c r="I7" s="1098"/>
      <c r="J7" s="1098"/>
      <c r="K7" s="1098"/>
      <c r="L7" s="1098"/>
      <c r="M7" s="1098"/>
    </row>
    <row r="8" spans="1:13">
      <c r="A8" s="1097"/>
      <c r="B8" s="1103">
        <v>1110000</v>
      </c>
      <c r="C8" s="1103">
        <v>146140</v>
      </c>
      <c r="D8" s="1103" t="s">
        <v>1181</v>
      </c>
      <c r="E8" s="1104">
        <v>-658393843.92999995</v>
      </c>
      <c r="F8" s="1097"/>
      <c r="G8" s="1098"/>
      <c r="H8" s="1098"/>
      <c r="I8" s="1098"/>
      <c r="J8" s="1105"/>
      <c r="K8" s="1098"/>
      <c r="L8" s="1105"/>
      <c r="M8" s="1098"/>
    </row>
    <row r="9" spans="1:13">
      <c r="A9" s="1097"/>
      <c r="B9" s="1106">
        <v>1110000</v>
      </c>
      <c r="C9" s="1103">
        <v>146200</v>
      </c>
      <c r="D9" s="1103" t="s">
        <v>1182</v>
      </c>
      <c r="E9" s="1104">
        <v>-144019367.18000004</v>
      </c>
      <c r="F9" s="1097"/>
      <c r="G9" s="1098"/>
      <c r="H9" s="1098"/>
      <c r="I9" s="1098"/>
      <c r="J9" s="1105"/>
      <c r="K9" s="1098"/>
      <c r="L9" s="1105"/>
      <c r="M9" s="1098"/>
    </row>
    <row r="10" spans="1:13">
      <c r="A10" s="1097"/>
      <c r="B10" s="1106">
        <v>1110000</v>
      </c>
      <c r="C10" s="1103">
        <v>146201</v>
      </c>
      <c r="D10" s="1103" t="s">
        <v>1183</v>
      </c>
      <c r="E10" s="1104">
        <v>0</v>
      </c>
      <c r="F10" s="1097"/>
      <c r="G10" s="1098"/>
      <c r="H10" s="1098"/>
      <c r="I10" s="1098"/>
      <c r="J10" s="1105"/>
      <c r="K10" s="1098"/>
      <c r="L10" s="1105"/>
      <c r="M10" s="1098"/>
    </row>
    <row r="11" spans="1:13">
      <c r="A11" s="1097"/>
      <c r="B11" s="1106">
        <v>1110000</v>
      </c>
      <c r="C11" s="1103">
        <v>146210</v>
      </c>
      <c r="D11" s="1103" t="s">
        <v>1184</v>
      </c>
      <c r="E11" s="1104">
        <v>-26099658.84</v>
      </c>
      <c r="F11" s="1097"/>
      <c r="G11" s="1097"/>
      <c r="H11" s="1097"/>
      <c r="I11" s="1097"/>
      <c r="J11" s="1506"/>
      <c r="K11" s="1097"/>
      <c r="L11" s="1506"/>
      <c r="M11" s="1098"/>
    </row>
    <row r="12" spans="1:13">
      <c r="A12" s="1097"/>
      <c r="B12" s="1106">
        <v>1110000</v>
      </c>
      <c r="C12" s="1103">
        <v>146230</v>
      </c>
      <c r="D12" s="1103" t="s">
        <v>1185</v>
      </c>
      <c r="E12" s="1104">
        <v>-14832360.01</v>
      </c>
      <c r="F12" s="1097"/>
      <c r="G12" s="1097"/>
      <c r="H12" s="1097"/>
      <c r="I12" s="1097"/>
      <c r="J12" s="1506"/>
      <c r="K12" s="1097"/>
      <c r="L12" s="1506"/>
      <c r="M12" s="1098"/>
    </row>
    <row r="13" spans="1:13">
      <c r="A13" s="1097"/>
      <c r="B13" s="1097"/>
      <c r="C13" s="1097"/>
      <c r="D13" s="1107" t="s">
        <v>1186</v>
      </c>
      <c r="E13" s="1108">
        <f>SUM(E8:E12)</f>
        <v>-843345229.96000004</v>
      </c>
      <c r="F13" s="1098"/>
      <c r="G13" s="1803" t="s">
        <v>2202</v>
      </c>
      <c r="H13" s="1097"/>
      <c r="I13" s="1097"/>
      <c r="J13" s="1097"/>
      <c r="K13" s="1097"/>
      <c r="L13" s="1097"/>
      <c r="M13" s="1098"/>
    </row>
    <row r="14" spans="1:13">
      <c r="A14" s="1097"/>
      <c r="B14" s="1097"/>
      <c r="C14" s="1097"/>
      <c r="D14" s="1097"/>
      <c r="E14" s="1097"/>
      <c r="F14" s="1097"/>
      <c r="G14" s="1097"/>
      <c r="H14" s="1097"/>
      <c r="I14" s="1097"/>
      <c r="J14" s="1506"/>
      <c r="K14" s="1097"/>
      <c r="L14" s="1506"/>
      <c r="M14" s="1098"/>
    </row>
    <row r="15" spans="1:13">
      <c r="A15" s="1097"/>
      <c r="B15" s="1097"/>
      <c r="C15" s="1097"/>
      <c r="D15" s="1097"/>
      <c r="E15" s="1097"/>
      <c r="F15" s="1097"/>
      <c r="G15" s="1098"/>
      <c r="H15" s="1098"/>
      <c r="I15" s="1098"/>
      <c r="J15" s="1098"/>
      <c r="K15" s="1098"/>
      <c r="L15" s="1098"/>
      <c r="M15" s="1098"/>
    </row>
    <row r="16" spans="1:13">
      <c r="A16" s="1097"/>
      <c r="B16" s="1097"/>
      <c r="C16" s="1097"/>
      <c r="D16" s="1097"/>
      <c r="E16" s="1097"/>
      <c r="F16" s="1097"/>
      <c r="G16" s="1098"/>
      <c r="H16" s="1098"/>
      <c r="I16" s="1098"/>
      <c r="J16" s="1098"/>
      <c r="K16" s="1098"/>
      <c r="L16" s="1098"/>
      <c r="M16" s="1098"/>
    </row>
    <row r="17" spans="1:13">
      <c r="A17" s="1097"/>
      <c r="B17" s="1097"/>
      <c r="C17" s="1097"/>
      <c r="D17" s="1097"/>
      <c r="E17" s="1097"/>
      <c r="F17" s="1097"/>
      <c r="G17" s="1098"/>
      <c r="H17" s="1098"/>
      <c r="I17" s="1098"/>
      <c r="J17" s="1098"/>
      <c r="K17" s="1098"/>
      <c r="L17" s="1098"/>
      <c r="M17" s="1098"/>
    </row>
    <row r="18" spans="1:13">
      <c r="A18" s="1097"/>
      <c r="B18" s="1097"/>
      <c r="C18" s="1097"/>
      <c r="D18" s="1097"/>
      <c r="E18" s="1097"/>
      <c r="F18" s="1097"/>
      <c r="G18" s="1098"/>
      <c r="H18" s="1098"/>
      <c r="I18" s="1098"/>
      <c r="J18" s="1098"/>
      <c r="K18" s="1098"/>
      <c r="L18" s="1098"/>
      <c r="M18" s="1098"/>
    </row>
    <row r="19" spans="1:13">
      <c r="A19" s="1098"/>
      <c r="B19" s="1098"/>
      <c r="C19" s="1098"/>
      <c r="D19" s="1098"/>
      <c r="E19" s="1098"/>
      <c r="F19" s="1098"/>
      <c r="G19" s="1098"/>
      <c r="H19" s="1098"/>
      <c r="I19" s="1098"/>
      <c r="J19" s="1098"/>
      <c r="K19" s="1098"/>
      <c r="L19" s="1098"/>
      <c r="M19" s="1098"/>
    </row>
    <row r="20" spans="1:13">
      <c r="A20" s="1098"/>
      <c r="B20" s="1098"/>
      <c r="C20" s="1098"/>
      <c r="D20" s="1098"/>
      <c r="E20" s="1098"/>
      <c r="F20" s="1098"/>
      <c r="G20" s="1098"/>
      <c r="H20" s="1098"/>
      <c r="I20" s="1098"/>
      <c r="J20" s="1098"/>
      <c r="K20" s="1098"/>
      <c r="L20" s="1098"/>
      <c r="M20" s="1098"/>
    </row>
    <row r="21" spans="1:13">
      <c r="A21" s="1098"/>
      <c r="B21" s="1098"/>
      <c r="C21" s="1098"/>
      <c r="D21" s="1098"/>
      <c r="E21" s="1098"/>
      <c r="F21" s="1098"/>
      <c r="G21" s="1098"/>
      <c r="H21" s="1098"/>
      <c r="I21" s="1098"/>
      <c r="J21" s="1098"/>
      <c r="K21" s="1098"/>
      <c r="L21" s="1098"/>
      <c r="M21" s="1098"/>
    </row>
    <row r="22" spans="1:13">
      <c r="A22" s="1098"/>
      <c r="B22" s="1098"/>
      <c r="C22" s="1098"/>
      <c r="D22" s="1098"/>
      <c r="E22" s="1098"/>
      <c r="F22" s="1098"/>
      <c r="G22" s="1098"/>
      <c r="H22" s="1098"/>
      <c r="I22" s="1098"/>
      <c r="J22" s="1098"/>
      <c r="K22" s="1098"/>
      <c r="L22" s="1098"/>
      <c r="M22" s="1098"/>
    </row>
    <row r="23" spans="1:13">
      <c r="A23" s="1098"/>
      <c r="B23" s="1098"/>
      <c r="C23" s="1098"/>
      <c r="D23" s="1098"/>
      <c r="E23" s="1098"/>
      <c r="F23" s="1098"/>
      <c r="G23" s="1098"/>
      <c r="H23" s="1098"/>
      <c r="I23" s="1098"/>
      <c r="J23" s="1098"/>
      <c r="K23" s="1098"/>
      <c r="L23" s="1098"/>
      <c r="M23" s="1098"/>
    </row>
    <row r="24" spans="1:13">
      <c r="A24" s="1098"/>
      <c r="B24" s="1098"/>
      <c r="C24" s="1098"/>
      <c r="D24" s="1098"/>
      <c r="E24" s="1098"/>
      <c r="F24" s="1098"/>
      <c r="G24" s="1098"/>
      <c r="H24" s="1098"/>
      <c r="I24" s="1098"/>
      <c r="J24" s="1098"/>
      <c r="K24" s="1098"/>
      <c r="L24" s="1098"/>
      <c r="M24" s="1098"/>
    </row>
  </sheetData>
  <mergeCells count="3">
    <mergeCell ref="B1:E1"/>
    <mergeCell ref="B2:E2"/>
    <mergeCell ref="B3:E3"/>
  </mergeCells>
  <pageMargins left="0.7" right="0.7" top="0.75" bottom="0.75" header="0.3" footer="0.3"/>
  <pageSetup scale="94" fitToHeight="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M96"/>
  <sheetViews>
    <sheetView zoomScaleNormal="100" workbookViewId="0">
      <selection activeCell="G6" sqref="G6"/>
    </sheetView>
  </sheetViews>
  <sheetFormatPr defaultRowHeight="15"/>
  <cols>
    <col min="1" max="1" width="4.85546875" customWidth="1"/>
    <col min="2" max="3" width="17.85546875" customWidth="1"/>
    <col min="4" max="4" width="42.42578125" customWidth="1"/>
    <col min="5" max="5" width="17.7109375" customWidth="1"/>
    <col min="6" max="8" width="18" customWidth="1"/>
    <col min="9" max="12" width="17.7109375" customWidth="1"/>
  </cols>
  <sheetData>
    <row r="1" spans="1:13" ht="15.75">
      <c r="A1" s="1109"/>
      <c r="B1" s="336" t="s">
        <v>2</v>
      </c>
      <c r="C1" s="308"/>
      <c r="D1" s="308"/>
      <c r="E1" s="308"/>
      <c r="F1" s="308"/>
      <c r="G1" s="308"/>
      <c r="H1" s="308"/>
      <c r="I1" s="308"/>
      <c r="J1" s="308"/>
      <c r="K1" s="308"/>
      <c r="L1" s="308"/>
      <c r="M1" s="332"/>
    </row>
    <row r="2" spans="1:13" ht="15.75">
      <c r="A2" s="1109"/>
      <c r="B2" s="336" t="s">
        <v>1187</v>
      </c>
      <c r="C2" s="308"/>
      <c r="D2" s="308"/>
      <c r="E2" s="308"/>
      <c r="F2" s="308"/>
      <c r="G2" s="308"/>
      <c r="H2" s="308"/>
      <c r="I2" s="308"/>
      <c r="J2" s="308"/>
      <c r="K2" s="308"/>
      <c r="L2" s="308"/>
      <c r="M2" s="332"/>
    </row>
    <row r="3" spans="1:13">
      <c r="A3" s="1109"/>
      <c r="B3" s="1096"/>
      <c r="C3" s="1096"/>
      <c r="D3" s="1096"/>
      <c r="E3" s="1096"/>
      <c r="F3" s="1096"/>
      <c r="G3" s="1096"/>
      <c r="H3" s="1096"/>
      <c r="I3" s="1096"/>
      <c r="J3" s="1096"/>
      <c r="K3" s="1096"/>
      <c r="L3" s="1096"/>
      <c r="M3" s="1096"/>
    </row>
    <row r="4" spans="1:13">
      <c r="A4" s="1110"/>
      <c r="B4" s="1111" t="s">
        <v>2182</v>
      </c>
      <c r="C4" s="1112"/>
      <c r="D4" s="1112"/>
      <c r="E4" s="1112"/>
      <c r="F4" s="1112"/>
      <c r="G4" s="1112"/>
      <c r="H4" s="1112"/>
      <c r="I4" s="1112"/>
      <c r="J4" s="1112"/>
      <c r="K4" s="1112"/>
      <c r="L4" s="1112"/>
      <c r="M4" s="1113"/>
    </row>
    <row r="5" spans="1:13" ht="15.75" thickBot="1">
      <c r="A5" s="305"/>
      <c r="B5" s="305"/>
      <c r="C5" s="305"/>
      <c r="D5" s="305"/>
      <c r="E5" s="305"/>
      <c r="F5" s="305"/>
      <c r="G5" s="305"/>
      <c r="H5" s="1114"/>
      <c r="I5" s="305"/>
      <c r="J5" s="305"/>
      <c r="K5" s="305"/>
      <c r="L5" s="305"/>
      <c r="M5" s="305"/>
    </row>
    <row r="6" spans="1:13" ht="30.75" customHeight="1" thickBot="1">
      <c r="A6" s="1110"/>
      <c r="B6" s="1115" t="s">
        <v>1179</v>
      </c>
      <c r="C6" s="1116" t="s">
        <v>1180</v>
      </c>
      <c r="D6" s="1117" t="s">
        <v>1188</v>
      </c>
      <c r="E6" s="1553" t="s">
        <v>1189</v>
      </c>
      <c r="F6" s="1118" t="s">
        <v>2089</v>
      </c>
      <c r="G6" s="1118" t="s">
        <v>2183</v>
      </c>
      <c r="H6" s="1118" t="s">
        <v>1190</v>
      </c>
      <c r="I6" s="1119" t="s">
        <v>895</v>
      </c>
      <c r="J6" s="1120" t="s">
        <v>1191</v>
      </c>
      <c r="K6" s="1120" t="s">
        <v>1192</v>
      </c>
      <c r="L6" s="1120" t="s">
        <v>1193</v>
      </c>
      <c r="M6" s="1113"/>
    </row>
    <row r="7" spans="1:13">
      <c r="A7" s="1110"/>
      <c r="B7" s="1869">
        <v>1651000</v>
      </c>
      <c r="C7" s="1882">
        <v>132008</v>
      </c>
      <c r="D7" s="1882" t="s">
        <v>2439</v>
      </c>
      <c r="E7" s="1123" t="s">
        <v>1192</v>
      </c>
      <c r="F7" s="1891">
        <v>77275199.420000002</v>
      </c>
      <c r="G7" s="1883">
        <v>209013762.00999999</v>
      </c>
      <c r="H7" s="1884">
        <v>143144480.715</v>
      </c>
      <c r="I7" s="1870" t="s">
        <v>2440</v>
      </c>
      <c r="J7" s="1870" t="s">
        <v>2440</v>
      </c>
      <c r="K7" s="1870">
        <v>143144480.715</v>
      </c>
      <c r="L7" s="1886" t="s">
        <v>2440</v>
      </c>
      <c r="M7" s="1121"/>
    </row>
    <row r="8" spans="1:13">
      <c r="A8" s="1110"/>
      <c r="B8" s="1869"/>
      <c r="C8" s="1122">
        <v>132012</v>
      </c>
      <c r="D8" s="1122" t="s">
        <v>2441</v>
      </c>
      <c r="E8" s="1123" t="s">
        <v>1192</v>
      </c>
      <c r="F8" s="1872">
        <v>3207357.38</v>
      </c>
      <c r="G8" s="1883">
        <v>678126.88</v>
      </c>
      <c r="H8" s="1873">
        <v>1942742.13</v>
      </c>
      <c r="I8" s="1885" t="s">
        <v>2440</v>
      </c>
      <c r="J8" s="1874" t="s">
        <v>2440</v>
      </c>
      <c r="K8" s="1874">
        <v>1942742.13</v>
      </c>
      <c r="L8" s="1875" t="s">
        <v>2440</v>
      </c>
      <c r="M8" s="1121"/>
    </row>
    <row r="9" spans="1:13">
      <c r="A9" s="1110"/>
      <c r="B9" s="1869"/>
      <c r="C9" s="1122">
        <v>132013</v>
      </c>
      <c r="D9" s="1122" t="s">
        <v>2442</v>
      </c>
      <c r="E9" s="1123" t="s">
        <v>1193</v>
      </c>
      <c r="F9" s="1872">
        <v>0</v>
      </c>
      <c r="G9" s="1883">
        <v>0</v>
      </c>
      <c r="H9" s="1873">
        <v>0</v>
      </c>
      <c r="I9" s="1885" t="s">
        <v>2440</v>
      </c>
      <c r="J9" s="1874" t="s">
        <v>2440</v>
      </c>
      <c r="K9" s="1874" t="s">
        <v>2440</v>
      </c>
      <c r="L9" s="1875"/>
      <c r="M9" s="1121"/>
    </row>
    <row r="10" spans="1:13">
      <c r="A10" s="1110"/>
      <c r="B10" s="1869"/>
      <c r="C10" s="1122">
        <v>132016</v>
      </c>
      <c r="D10" s="1122" t="s">
        <v>2443</v>
      </c>
      <c r="E10" s="1123" t="s">
        <v>895</v>
      </c>
      <c r="F10" s="1872">
        <v>380196.03</v>
      </c>
      <c r="G10" s="1883">
        <v>301606.84999999998</v>
      </c>
      <c r="H10" s="1873">
        <v>340901.44</v>
      </c>
      <c r="I10" s="1885">
        <v>340901.44</v>
      </c>
      <c r="J10" s="1874" t="s">
        <v>2440</v>
      </c>
      <c r="K10" s="1874" t="s">
        <v>2440</v>
      </c>
      <c r="L10" s="1875" t="s">
        <v>2440</v>
      </c>
      <c r="M10" s="1121"/>
    </row>
    <row r="11" spans="1:13">
      <c r="A11" s="1110"/>
      <c r="B11" s="1869"/>
      <c r="C11" s="1122">
        <v>132045</v>
      </c>
      <c r="D11" s="1122" t="s">
        <v>2444</v>
      </c>
      <c r="E11" s="1123" t="s">
        <v>1193</v>
      </c>
      <c r="F11" s="1872">
        <v>136220.4</v>
      </c>
      <c r="G11" s="1883">
        <v>135561.24</v>
      </c>
      <c r="H11" s="1873">
        <v>135890.82</v>
      </c>
      <c r="I11" s="1885" t="s">
        <v>2440</v>
      </c>
      <c r="J11" s="1874" t="s">
        <v>2440</v>
      </c>
      <c r="K11" s="1874" t="s">
        <v>2440</v>
      </c>
      <c r="L11" s="1875">
        <v>135890.82</v>
      </c>
      <c r="M11" s="1121"/>
    </row>
    <row r="12" spans="1:13">
      <c r="A12" s="1110"/>
      <c r="B12" s="1869"/>
      <c r="C12" s="1122">
        <v>132055</v>
      </c>
      <c r="D12" s="1122" t="s">
        <v>2445</v>
      </c>
      <c r="E12" s="1123" t="s">
        <v>1193</v>
      </c>
      <c r="F12" s="1872">
        <v>1035575.03</v>
      </c>
      <c r="G12" s="1883">
        <v>1223800.8600000001</v>
      </c>
      <c r="H12" s="1873">
        <v>1129687.9450000001</v>
      </c>
      <c r="I12" s="1885" t="s">
        <v>2440</v>
      </c>
      <c r="J12" s="1874" t="s">
        <v>2440</v>
      </c>
      <c r="K12" s="1874" t="s">
        <v>2440</v>
      </c>
      <c r="L12" s="1875">
        <v>1129687.9450000001</v>
      </c>
      <c r="M12" s="1121"/>
    </row>
    <row r="13" spans="1:13">
      <c r="A13" s="1110"/>
      <c r="B13" s="1869"/>
      <c r="C13" s="1122">
        <v>132722</v>
      </c>
      <c r="D13" s="1122" t="s">
        <v>2446</v>
      </c>
      <c r="E13" s="1123" t="s">
        <v>1192</v>
      </c>
      <c r="F13" s="1872">
        <v>0</v>
      </c>
      <c r="G13" s="1883">
        <v>0</v>
      </c>
      <c r="H13" s="1873">
        <v>0</v>
      </c>
      <c r="I13" s="1885" t="s">
        <v>2440</v>
      </c>
      <c r="J13" s="1874" t="s">
        <v>2440</v>
      </c>
      <c r="K13" s="1874"/>
      <c r="L13" s="1875" t="s">
        <v>2440</v>
      </c>
      <c r="M13" s="1121"/>
    </row>
    <row r="14" spans="1:13">
      <c r="A14" s="1110"/>
      <c r="B14" s="1869"/>
      <c r="C14" s="1122">
        <v>132723</v>
      </c>
      <c r="D14" s="1122" t="s">
        <v>2447</v>
      </c>
      <c r="E14" s="1123" t="s">
        <v>1192</v>
      </c>
      <c r="F14" s="1872">
        <v>0</v>
      </c>
      <c r="G14" s="1883">
        <v>0</v>
      </c>
      <c r="H14" s="1873">
        <v>0</v>
      </c>
      <c r="I14" s="1885" t="s">
        <v>2440</v>
      </c>
      <c r="J14" s="1874" t="s">
        <v>2440</v>
      </c>
      <c r="K14" s="1874"/>
      <c r="L14" s="1875" t="s">
        <v>2440</v>
      </c>
      <c r="M14" s="1121"/>
    </row>
    <row r="15" spans="1:13">
      <c r="A15" s="1110"/>
      <c r="B15" s="1869">
        <v>1652000</v>
      </c>
      <c r="C15" s="1122">
        <v>132101</v>
      </c>
      <c r="D15" s="1122" t="s">
        <v>2448</v>
      </c>
      <c r="E15" s="1123" t="s">
        <v>1192</v>
      </c>
      <c r="F15" s="1872">
        <v>24138270.550000001</v>
      </c>
      <c r="G15" s="1883">
        <v>25377999.370000001</v>
      </c>
      <c r="H15" s="1873">
        <v>24758134.960000001</v>
      </c>
      <c r="I15" s="1885" t="s">
        <v>2440</v>
      </c>
      <c r="J15" s="1874" t="s">
        <v>2440</v>
      </c>
      <c r="K15" s="1874">
        <v>24758134.960000001</v>
      </c>
      <c r="L15" s="1875" t="s">
        <v>2440</v>
      </c>
      <c r="M15" s="1121"/>
    </row>
    <row r="16" spans="1:13">
      <c r="A16" s="1110"/>
      <c r="B16" s="1869"/>
      <c r="C16" s="1122">
        <v>132200</v>
      </c>
      <c r="D16" s="1122" t="s">
        <v>2449</v>
      </c>
      <c r="E16" s="1123" t="s">
        <v>895</v>
      </c>
      <c r="F16" s="1872">
        <v>29203.68</v>
      </c>
      <c r="G16" s="1883">
        <v>29203.68</v>
      </c>
      <c r="H16" s="1873">
        <v>29203.68</v>
      </c>
      <c r="I16" s="1885">
        <v>29203.68</v>
      </c>
      <c r="J16" s="1874" t="s">
        <v>2440</v>
      </c>
      <c r="K16" s="1874" t="s">
        <v>2440</v>
      </c>
      <c r="L16" s="1875" t="s">
        <v>2440</v>
      </c>
      <c r="M16" s="1121"/>
    </row>
    <row r="17" spans="1:13">
      <c r="A17" s="1110"/>
      <c r="B17" s="1869"/>
      <c r="C17" s="1122">
        <v>132924</v>
      </c>
      <c r="D17" s="1122" t="s">
        <v>2450</v>
      </c>
      <c r="E17" s="1123" t="s">
        <v>895</v>
      </c>
      <c r="F17" s="1872">
        <v>681955.5</v>
      </c>
      <c r="G17" s="1883">
        <v>739730</v>
      </c>
      <c r="H17" s="1873">
        <v>710842.75</v>
      </c>
      <c r="I17" s="1885">
        <v>710842.75</v>
      </c>
      <c r="J17" s="1874" t="s">
        <v>2440</v>
      </c>
      <c r="K17" s="1874" t="s">
        <v>2440</v>
      </c>
      <c r="L17" s="1875" t="s">
        <v>2440</v>
      </c>
      <c r="M17" s="1121"/>
    </row>
    <row r="18" spans="1:13">
      <c r="A18" s="1110"/>
      <c r="B18" s="1869">
        <v>1652100</v>
      </c>
      <c r="C18" s="1122">
        <v>132095</v>
      </c>
      <c r="D18" s="1122" t="s">
        <v>2451</v>
      </c>
      <c r="E18" s="1123" t="s">
        <v>895</v>
      </c>
      <c r="F18" s="1872">
        <v>773245.51</v>
      </c>
      <c r="G18" s="1883">
        <v>673543.4</v>
      </c>
      <c r="H18" s="1873">
        <v>723394.45500000007</v>
      </c>
      <c r="I18" s="1885">
        <v>723394.45500000007</v>
      </c>
      <c r="J18" s="1874" t="s">
        <v>2440</v>
      </c>
      <c r="K18" s="1874" t="s">
        <v>2440</v>
      </c>
      <c r="L18" s="1875" t="s">
        <v>2440</v>
      </c>
      <c r="M18" s="1121"/>
    </row>
    <row r="19" spans="1:13">
      <c r="A19" s="1110"/>
      <c r="B19" s="1869"/>
      <c r="C19" s="1122">
        <v>132096</v>
      </c>
      <c r="D19" s="1122" t="s">
        <v>2452</v>
      </c>
      <c r="E19" s="1123" t="s">
        <v>895</v>
      </c>
      <c r="F19" s="1872">
        <v>0</v>
      </c>
      <c r="G19" s="1883">
        <v>0</v>
      </c>
      <c r="H19" s="1873">
        <v>0</v>
      </c>
      <c r="I19" s="1885"/>
      <c r="J19" s="1874" t="s">
        <v>2440</v>
      </c>
      <c r="K19" s="1874" t="s">
        <v>2440</v>
      </c>
      <c r="L19" s="1875" t="s">
        <v>2440</v>
      </c>
      <c r="M19" s="1121"/>
    </row>
    <row r="20" spans="1:13">
      <c r="A20" s="1110"/>
      <c r="B20" s="1869"/>
      <c r="C20" s="1122">
        <v>132097</v>
      </c>
      <c r="D20" s="1122" t="s">
        <v>2453</v>
      </c>
      <c r="E20" s="1123" t="s">
        <v>895</v>
      </c>
      <c r="F20" s="1872">
        <v>29684252.699999999</v>
      </c>
      <c r="G20" s="1883">
        <v>11848434.560000001</v>
      </c>
      <c r="H20" s="1873">
        <v>20766343.629999999</v>
      </c>
      <c r="I20" s="1885">
        <v>20766343.629999999</v>
      </c>
      <c r="J20" s="1874" t="s">
        <v>2440</v>
      </c>
      <c r="K20" s="1874" t="s">
        <v>2440</v>
      </c>
      <c r="L20" s="1875" t="s">
        <v>2440</v>
      </c>
      <c r="M20" s="1121"/>
    </row>
    <row r="21" spans="1:13">
      <c r="A21" s="1110"/>
      <c r="B21" s="1869"/>
      <c r="C21" s="1122">
        <v>132098</v>
      </c>
      <c r="D21" s="1122" t="s">
        <v>2454</v>
      </c>
      <c r="E21" s="1123" t="s">
        <v>895</v>
      </c>
      <c r="F21" s="1872">
        <v>10453881.710000001</v>
      </c>
      <c r="G21" s="1883">
        <v>1243553.8400000001</v>
      </c>
      <c r="H21" s="1873">
        <v>5848717.7750000004</v>
      </c>
      <c r="I21" s="1885">
        <v>5848717.7750000004</v>
      </c>
      <c r="J21" s="1874" t="s">
        <v>2440</v>
      </c>
      <c r="K21" s="1874" t="s">
        <v>2440</v>
      </c>
      <c r="L21" s="1875" t="s">
        <v>2440</v>
      </c>
      <c r="M21" s="1121"/>
    </row>
    <row r="22" spans="1:13">
      <c r="A22" s="1110"/>
      <c r="B22" s="1869"/>
      <c r="C22" s="1122">
        <v>132099</v>
      </c>
      <c r="D22" s="1122" t="s">
        <v>2455</v>
      </c>
      <c r="E22" s="1123" t="s">
        <v>895</v>
      </c>
      <c r="F22" s="1872">
        <v>12616435.5</v>
      </c>
      <c r="G22" s="1883">
        <v>20973826.800000001</v>
      </c>
      <c r="H22" s="1873">
        <v>16795131.149999999</v>
      </c>
      <c r="I22" s="1885">
        <v>16795131.149999999</v>
      </c>
      <c r="J22" s="1874" t="s">
        <v>2440</v>
      </c>
      <c r="K22" s="1874" t="s">
        <v>2440</v>
      </c>
      <c r="L22" s="1875" t="s">
        <v>2440</v>
      </c>
      <c r="M22" s="1121"/>
    </row>
    <row r="23" spans="1:13">
      <c r="A23" s="1110"/>
      <c r="B23" s="1869"/>
      <c r="C23" s="1122">
        <v>132310</v>
      </c>
      <c r="D23" s="1122" t="s">
        <v>2456</v>
      </c>
      <c r="E23" s="1123" t="s">
        <v>895</v>
      </c>
      <c r="F23" s="1872">
        <v>39260.68</v>
      </c>
      <c r="G23" s="1883">
        <v>43419.97</v>
      </c>
      <c r="H23" s="1873">
        <v>41340.324999999997</v>
      </c>
      <c r="I23" s="1885">
        <v>41340.324999999997</v>
      </c>
      <c r="J23" s="1874" t="s">
        <v>2440</v>
      </c>
      <c r="K23" s="1874" t="s">
        <v>2440</v>
      </c>
      <c r="L23" s="1875" t="s">
        <v>2440</v>
      </c>
      <c r="M23" s="1121"/>
    </row>
    <row r="24" spans="1:13">
      <c r="A24" s="1110"/>
      <c r="B24" s="1869"/>
      <c r="C24" s="1122">
        <v>132320</v>
      </c>
      <c r="D24" s="1122" t="s">
        <v>2457</v>
      </c>
      <c r="E24" s="1123" t="s">
        <v>895</v>
      </c>
      <c r="F24" s="1872">
        <v>0</v>
      </c>
      <c r="G24" s="1883">
        <v>0</v>
      </c>
      <c r="H24" s="1873">
        <v>0</v>
      </c>
      <c r="I24" s="1885"/>
      <c r="J24" s="1874" t="s">
        <v>2440</v>
      </c>
      <c r="K24" s="1874" t="s">
        <v>2440</v>
      </c>
      <c r="L24" s="1875" t="s">
        <v>2440</v>
      </c>
      <c r="M24" s="1121"/>
    </row>
    <row r="25" spans="1:13">
      <c r="A25" s="1110"/>
      <c r="B25" s="1869"/>
      <c r="C25" s="1122">
        <v>132548</v>
      </c>
      <c r="D25" s="1122" t="s">
        <v>2458</v>
      </c>
      <c r="E25" s="1123" t="s">
        <v>895</v>
      </c>
      <c r="F25" s="1872">
        <v>0</v>
      </c>
      <c r="G25" s="1883">
        <v>537825.6</v>
      </c>
      <c r="H25" s="1873">
        <v>268912.8</v>
      </c>
      <c r="I25" s="1885">
        <v>268912.8</v>
      </c>
      <c r="J25" s="1874" t="s">
        <v>2440</v>
      </c>
      <c r="K25" s="1874" t="s">
        <v>2440</v>
      </c>
      <c r="L25" s="1875" t="s">
        <v>2440</v>
      </c>
      <c r="M25" s="1121"/>
    </row>
    <row r="26" spans="1:13">
      <c r="A26" s="1110"/>
      <c r="B26" s="1869"/>
      <c r="C26" s="1122">
        <v>132551</v>
      </c>
      <c r="D26" s="1122" t="s">
        <v>2459</v>
      </c>
      <c r="E26" s="1123" t="s">
        <v>895</v>
      </c>
      <c r="F26" s="1872">
        <v>207914.1</v>
      </c>
      <c r="G26" s="1883">
        <v>277218.8</v>
      </c>
      <c r="H26" s="1873">
        <v>242566.45</v>
      </c>
      <c r="I26" s="1885">
        <v>242566.45</v>
      </c>
      <c r="J26" s="1874" t="s">
        <v>2440</v>
      </c>
      <c r="K26" s="1874" t="s">
        <v>2440</v>
      </c>
      <c r="L26" s="1875" t="s">
        <v>2440</v>
      </c>
      <c r="M26" s="1121"/>
    </row>
    <row r="27" spans="1:13">
      <c r="A27" s="1110"/>
      <c r="B27" s="1869"/>
      <c r="C27" s="1122">
        <v>132557</v>
      </c>
      <c r="D27" s="1122" t="s">
        <v>2460</v>
      </c>
      <c r="E27" s="1123" t="s">
        <v>895</v>
      </c>
      <c r="F27" s="1872">
        <v>213626.02</v>
      </c>
      <c r="G27" s="1883">
        <v>370873.8</v>
      </c>
      <c r="H27" s="1873">
        <v>292249.90999999997</v>
      </c>
      <c r="I27" s="1885">
        <v>292249.90999999997</v>
      </c>
      <c r="J27" s="1874" t="s">
        <v>2440</v>
      </c>
      <c r="K27" s="1874" t="s">
        <v>2440</v>
      </c>
      <c r="L27" s="1875" t="s">
        <v>2440</v>
      </c>
      <c r="M27" s="1121"/>
    </row>
    <row r="28" spans="1:13">
      <c r="A28" s="1110"/>
      <c r="B28" s="1869"/>
      <c r="C28" s="1122">
        <v>132558</v>
      </c>
      <c r="D28" s="1122" t="s">
        <v>2461</v>
      </c>
      <c r="E28" s="1123" t="s">
        <v>895</v>
      </c>
      <c r="F28" s="1872">
        <v>0</v>
      </c>
      <c r="G28" s="1883">
        <v>405838.33</v>
      </c>
      <c r="H28" s="1873">
        <v>202919.16500000001</v>
      </c>
      <c r="I28" s="1885">
        <v>202919.16500000001</v>
      </c>
      <c r="J28" s="1874" t="s">
        <v>2440</v>
      </c>
      <c r="K28" s="1874" t="s">
        <v>2440</v>
      </c>
      <c r="L28" s="1875" t="s">
        <v>2440</v>
      </c>
      <c r="M28" s="1121"/>
    </row>
    <row r="29" spans="1:13">
      <c r="A29" s="1110"/>
      <c r="B29" s="1869"/>
      <c r="C29" s="1122">
        <v>132561</v>
      </c>
      <c r="D29" s="1122" t="s">
        <v>2462</v>
      </c>
      <c r="E29" s="1123" t="s">
        <v>895</v>
      </c>
      <c r="F29" s="1872">
        <v>0</v>
      </c>
      <c r="G29" s="1883">
        <v>-0.03</v>
      </c>
      <c r="H29" s="1873">
        <v>-1.4999999999999999E-2</v>
      </c>
      <c r="I29" s="1885"/>
      <c r="J29" s="1874" t="s">
        <v>2440</v>
      </c>
      <c r="K29" s="1874" t="s">
        <v>2440</v>
      </c>
      <c r="L29" s="1875" t="s">
        <v>2440</v>
      </c>
      <c r="M29" s="1121"/>
    </row>
    <row r="30" spans="1:13">
      <c r="A30" s="1110"/>
      <c r="B30" s="1869"/>
      <c r="C30" s="1122">
        <v>132564</v>
      </c>
      <c r="D30" s="1122" t="s">
        <v>2463</v>
      </c>
      <c r="E30" s="1123" t="s">
        <v>895</v>
      </c>
      <c r="F30" s="1872">
        <v>0</v>
      </c>
      <c r="G30" s="1883">
        <v>1236246</v>
      </c>
      <c r="H30" s="1873">
        <v>618123</v>
      </c>
      <c r="I30" s="1885">
        <v>618123</v>
      </c>
      <c r="J30" s="1874" t="s">
        <v>2440</v>
      </c>
      <c r="K30" s="1874" t="s">
        <v>2440</v>
      </c>
      <c r="L30" s="1875" t="s">
        <v>2440</v>
      </c>
      <c r="M30" s="1121"/>
    </row>
    <row r="31" spans="1:13">
      <c r="A31" s="1110"/>
      <c r="B31" s="1869"/>
      <c r="C31" s="1122">
        <v>132567</v>
      </c>
      <c r="D31" s="1122" t="s">
        <v>2464</v>
      </c>
      <c r="E31" s="1123" t="s">
        <v>895</v>
      </c>
      <c r="F31" s="1872">
        <v>282369.84000000003</v>
      </c>
      <c r="G31" s="1883">
        <v>250995.4</v>
      </c>
      <c r="H31" s="1873">
        <v>266682.62</v>
      </c>
      <c r="I31" s="1885">
        <v>266682.62</v>
      </c>
      <c r="J31" s="1874" t="s">
        <v>2440</v>
      </c>
      <c r="K31" s="1874" t="s">
        <v>2440</v>
      </c>
      <c r="L31" s="1875" t="s">
        <v>2440</v>
      </c>
      <c r="M31" s="1121"/>
    </row>
    <row r="32" spans="1:13">
      <c r="A32" s="1110"/>
      <c r="B32" s="1869"/>
      <c r="C32" s="1122">
        <v>132571</v>
      </c>
      <c r="D32" s="1122" t="s">
        <v>2465</v>
      </c>
      <c r="E32" s="1123" t="s">
        <v>895</v>
      </c>
      <c r="F32" s="1872">
        <v>0</v>
      </c>
      <c r="G32" s="1883">
        <v>0.02</v>
      </c>
      <c r="H32" s="1873">
        <v>0.01</v>
      </c>
      <c r="I32" s="1885"/>
      <c r="J32" s="1874" t="s">
        <v>2440</v>
      </c>
      <c r="K32" s="1874" t="s">
        <v>2440</v>
      </c>
      <c r="L32" s="1875" t="s">
        <v>2440</v>
      </c>
      <c r="M32" s="1121"/>
    </row>
    <row r="33" spans="1:13">
      <c r="A33" s="1110"/>
      <c r="B33" s="1869"/>
      <c r="C33" s="1122">
        <v>132574</v>
      </c>
      <c r="D33" s="1122" t="s">
        <v>2466</v>
      </c>
      <c r="E33" s="1123" t="s">
        <v>895</v>
      </c>
      <c r="F33" s="1872">
        <v>133656.07999999999</v>
      </c>
      <c r="G33" s="1883">
        <v>296574.17</v>
      </c>
      <c r="H33" s="1873">
        <v>215115.125</v>
      </c>
      <c r="I33" s="1885">
        <v>215115.125</v>
      </c>
      <c r="J33" s="1874" t="s">
        <v>2440</v>
      </c>
      <c r="K33" s="1874" t="s">
        <v>2440</v>
      </c>
      <c r="L33" s="1875" t="s">
        <v>2440</v>
      </c>
      <c r="M33" s="1121"/>
    </row>
    <row r="34" spans="1:13">
      <c r="A34" s="1110"/>
      <c r="B34" s="1869"/>
      <c r="C34" s="1122">
        <v>132576</v>
      </c>
      <c r="D34" s="1122" t="s">
        <v>2467</v>
      </c>
      <c r="E34" s="1123" t="s">
        <v>895</v>
      </c>
      <c r="F34" s="1872">
        <v>0</v>
      </c>
      <c r="G34" s="1883">
        <v>0.01</v>
      </c>
      <c r="H34" s="1873">
        <v>5.0000000000000001E-3</v>
      </c>
      <c r="I34" s="1885"/>
      <c r="J34" s="1874" t="s">
        <v>2440</v>
      </c>
      <c r="K34" s="1874" t="s">
        <v>2440</v>
      </c>
      <c r="L34" s="1875" t="s">
        <v>2440</v>
      </c>
      <c r="M34" s="1121"/>
    </row>
    <row r="35" spans="1:13">
      <c r="A35" s="1110"/>
      <c r="B35" s="1869"/>
      <c r="C35" s="1122">
        <v>132577</v>
      </c>
      <c r="D35" s="1122" t="s">
        <v>2468</v>
      </c>
      <c r="E35" s="1123" t="s">
        <v>895</v>
      </c>
      <c r="F35" s="1872">
        <v>332665.65000000002</v>
      </c>
      <c r="G35" s="1883">
        <v>370873.8</v>
      </c>
      <c r="H35" s="1873">
        <v>351769.72499999998</v>
      </c>
      <c r="I35" s="1885">
        <v>351769.72499999998</v>
      </c>
      <c r="J35" s="1874" t="s">
        <v>2440</v>
      </c>
      <c r="K35" s="1874" t="s">
        <v>2440</v>
      </c>
      <c r="L35" s="1875" t="s">
        <v>2440</v>
      </c>
      <c r="M35" s="1121"/>
    </row>
    <row r="36" spans="1:13">
      <c r="A36" s="1110"/>
      <c r="B36" s="1869"/>
      <c r="C36" s="1122">
        <v>132580</v>
      </c>
      <c r="D36" s="1122" t="s">
        <v>2469</v>
      </c>
      <c r="E36" s="1123" t="s">
        <v>895</v>
      </c>
      <c r="F36" s="1872">
        <v>185436.9</v>
      </c>
      <c r="G36" s="1883">
        <v>247249.2</v>
      </c>
      <c r="H36" s="1873">
        <v>216343.05</v>
      </c>
      <c r="I36" s="1885">
        <v>216343.05</v>
      </c>
      <c r="J36" s="1874" t="s">
        <v>2440</v>
      </c>
      <c r="K36" s="1874" t="s">
        <v>2440</v>
      </c>
      <c r="L36" s="1875" t="s">
        <v>2440</v>
      </c>
      <c r="M36" s="1121"/>
    </row>
    <row r="37" spans="1:13">
      <c r="A37" s="1110"/>
      <c r="B37" s="1869"/>
      <c r="C37" s="1122">
        <v>132581</v>
      </c>
      <c r="D37" s="1122" t="s">
        <v>2470</v>
      </c>
      <c r="E37" s="1123" t="s">
        <v>895</v>
      </c>
      <c r="F37" s="1872">
        <v>36525.46</v>
      </c>
      <c r="G37" s="1883">
        <v>48700.57</v>
      </c>
      <c r="H37" s="1873">
        <v>42613.014999999999</v>
      </c>
      <c r="I37" s="1885">
        <v>42613.014999999999</v>
      </c>
      <c r="J37" s="1874" t="s">
        <v>2440</v>
      </c>
      <c r="K37" s="1874" t="s">
        <v>2440</v>
      </c>
      <c r="L37" s="1875" t="s">
        <v>2440</v>
      </c>
      <c r="M37" s="1121"/>
    </row>
    <row r="38" spans="1:13">
      <c r="A38" s="1110"/>
      <c r="B38" s="1869"/>
      <c r="C38" s="1122">
        <v>132584</v>
      </c>
      <c r="D38" s="1122" t="s">
        <v>2471</v>
      </c>
      <c r="E38" s="1123" t="s">
        <v>895</v>
      </c>
      <c r="F38" s="1872">
        <v>0</v>
      </c>
      <c r="G38" s="1883">
        <v>-0.01</v>
      </c>
      <c r="H38" s="1873">
        <v>-5.0000000000000001E-3</v>
      </c>
      <c r="I38" s="1885"/>
      <c r="J38" s="1874" t="s">
        <v>2440</v>
      </c>
      <c r="K38" s="1874" t="s">
        <v>2440</v>
      </c>
      <c r="L38" s="1875" t="s">
        <v>2440</v>
      </c>
      <c r="M38" s="1121"/>
    </row>
    <row r="39" spans="1:13">
      <c r="A39" s="1110"/>
      <c r="B39" s="1869"/>
      <c r="C39" s="1122">
        <v>132585</v>
      </c>
      <c r="D39" s="1122" t="s">
        <v>2471</v>
      </c>
      <c r="E39" s="1123" t="s">
        <v>895</v>
      </c>
      <c r="F39" s="1872">
        <v>0</v>
      </c>
      <c r="G39" s="1883">
        <v>0.01</v>
      </c>
      <c r="H39" s="1873">
        <v>5.0000000000000001E-3</v>
      </c>
      <c r="I39" s="1885"/>
      <c r="J39" s="1874" t="s">
        <v>2440</v>
      </c>
      <c r="K39" s="1874" t="s">
        <v>2440</v>
      </c>
      <c r="L39" s="1875" t="s">
        <v>2440</v>
      </c>
      <c r="M39" s="1121"/>
    </row>
    <row r="40" spans="1:13">
      <c r="A40" s="1110"/>
      <c r="B40" s="1869"/>
      <c r="C40" s="1122">
        <v>132603</v>
      </c>
      <c r="D40" s="1122" t="s">
        <v>2472</v>
      </c>
      <c r="E40" s="1123" t="s">
        <v>895</v>
      </c>
      <c r="F40" s="1872">
        <v>0</v>
      </c>
      <c r="G40" s="1883">
        <v>0</v>
      </c>
      <c r="H40" s="1873">
        <v>0</v>
      </c>
      <c r="I40" s="1885"/>
      <c r="J40" s="1874" t="s">
        <v>2440</v>
      </c>
      <c r="K40" s="1874" t="s">
        <v>2440</v>
      </c>
      <c r="L40" s="1875" t="s">
        <v>2440</v>
      </c>
      <c r="M40" s="1121"/>
    </row>
    <row r="41" spans="1:13">
      <c r="A41" s="1110"/>
      <c r="B41" s="1869"/>
      <c r="C41" s="1122">
        <v>132606</v>
      </c>
      <c r="D41" s="1122" t="s">
        <v>2473</v>
      </c>
      <c r="E41" s="1123" t="s">
        <v>895</v>
      </c>
      <c r="F41" s="1872">
        <v>0</v>
      </c>
      <c r="G41" s="1883">
        <v>0</v>
      </c>
      <c r="H41" s="1873">
        <v>0</v>
      </c>
      <c r="I41" s="1885"/>
      <c r="J41" s="1874" t="s">
        <v>2440</v>
      </c>
      <c r="K41" s="1874" t="s">
        <v>2440</v>
      </c>
      <c r="L41" s="1875" t="s">
        <v>2440</v>
      </c>
      <c r="M41" s="1121"/>
    </row>
    <row r="42" spans="1:13">
      <c r="A42" s="1110"/>
      <c r="B42" s="1869"/>
      <c r="C42" s="1122">
        <v>132620</v>
      </c>
      <c r="D42" s="1122" t="s">
        <v>2474</v>
      </c>
      <c r="E42" s="1123" t="s">
        <v>895</v>
      </c>
      <c r="F42" s="1872">
        <v>950047.86</v>
      </c>
      <c r="G42" s="1883">
        <v>963325.71</v>
      </c>
      <c r="H42" s="1873">
        <v>956686.78499999992</v>
      </c>
      <c r="I42" s="1885">
        <v>956686.78499999992</v>
      </c>
      <c r="J42" s="1874" t="s">
        <v>2440</v>
      </c>
      <c r="K42" s="1874" t="s">
        <v>2440</v>
      </c>
      <c r="L42" s="1875" t="s">
        <v>2440</v>
      </c>
      <c r="M42" s="1121"/>
    </row>
    <row r="43" spans="1:13">
      <c r="A43" s="1110"/>
      <c r="B43" s="1869"/>
      <c r="C43" s="1122">
        <v>132621</v>
      </c>
      <c r="D43" s="1122" t="s">
        <v>2475</v>
      </c>
      <c r="E43" s="1123" t="s">
        <v>895</v>
      </c>
      <c r="F43" s="1872">
        <v>557593.74</v>
      </c>
      <c r="G43" s="1883">
        <v>557593.74</v>
      </c>
      <c r="H43" s="1873">
        <v>557593.74</v>
      </c>
      <c r="I43" s="1885">
        <v>557593.74</v>
      </c>
      <c r="J43" s="1874" t="s">
        <v>2440</v>
      </c>
      <c r="K43" s="1874" t="s">
        <v>2440</v>
      </c>
      <c r="L43" s="1875" t="s">
        <v>2440</v>
      </c>
      <c r="M43" s="1121"/>
    </row>
    <row r="44" spans="1:13">
      <c r="A44" s="1110"/>
      <c r="B44" s="1869"/>
      <c r="C44" s="1122">
        <v>132622</v>
      </c>
      <c r="D44" s="1122" t="s">
        <v>2476</v>
      </c>
      <c r="E44" s="1123" t="s">
        <v>895</v>
      </c>
      <c r="F44" s="1872">
        <v>0</v>
      </c>
      <c r="G44" s="1883">
        <v>0</v>
      </c>
      <c r="H44" s="1873">
        <v>0</v>
      </c>
      <c r="I44" s="1885"/>
      <c r="J44" s="1874" t="s">
        <v>2440</v>
      </c>
      <c r="K44" s="1874" t="s">
        <v>2440</v>
      </c>
      <c r="L44" s="1875" t="s">
        <v>2440</v>
      </c>
      <c r="M44" s="1121"/>
    </row>
    <row r="45" spans="1:13">
      <c r="A45" s="1110"/>
      <c r="B45" s="1869"/>
      <c r="C45" s="1122">
        <v>132623</v>
      </c>
      <c r="D45" s="1122" t="s">
        <v>2477</v>
      </c>
      <c r="E45" s="1123" t="s">
        <v>895</v>
      </c>
      <c r="F45" s="1872">
        <v>0</v>
      </c>
      <c r="G45" s="1883">
        <v>0</v>
      </c>
      <c r="H45" s="1873">
        <v>0</v>
      </c>
      <c r="I45" s="1885"/>
      <c r="J45" s="1874" t="s">
        <v>2440</v>
      </c>
      <c r="K45" s="1874" t="s">
        <v>2440</v>
      </c>
      <c r="L45" s="1875" t="s">
        <v>2440</v>
      </c>
      <c r="M45" s="1121"/>
    </row>
    <row r="46" spans="1:13">
      <c r="A46" s="1110"/>
      <c r="B46" s="1869"/>
      <c r="C46" s="1122">
        <v>132630</v>
      </c>
      <c r="D46" s="1122" t="s">
        <v>2478</v>
      </c>
      <c r="E46" s="1123" t="s">
        <v>895</v>
      </c>
      <c r="F46" s="1872">
        <v>0</v>
      </c>
      <c r="G46" s="1883">
        <v>16070.01</v>
      </c>
      <c r="H46" s="1873">
        <v>8035.0050000000001</v>
      </c>
      <c r="I46" s="1885">
        <v>8035.0050000000001</v>
      </c>
      <c r="J46" s="1874" t="s">
        <v>2440</v>
      </c>
      <c r="K46" s="1874" t="s">
        <v>2440</v>
      </c>
      <c r="L46" s="1875" t="s">
        <v>2440</v>
      </c>
      <c r="M46" s="1121"/>
    </row>
    <row r="47" spans="1:13">
      <c r="A47" s="1110"/>
      <c r="B47" s="1869"/>
      <c r="C47" s="1122">
        <v>132650</v>
      </c>
      <c r="D47" s="1122" t="s">
        <v>2479</v>
      </c>
      <c r="E47" s="1123" t="s">
        <v>895</v>
      </c>
      <c r="F47" s="1872">
        <v>1836474</v>
      </c>
      <c r="G47" s="1883">
        <v>2431596.5</v>
      </c>
      <c r="H47" s="1873">
        <v>2134035.25</v>
      </c>
      <c r="I47" s="1885">
        <v>2134035.25</v>
      </c>
      <c r="J47" s="1874" t="s">
        <v>2440</v>
      </c>
      <c r="K47" s="1874" t="s">
        <v>2440</v>
      </c>
      <c r="L47" s="1875" t="s">
        <v>2440</v>
      </c>
      <c r="M47" s="1121"/>
    </row>
    <row r="48" spans="1:13">
      <c r="A48" s="1110"/>
      <c r="B48" s="1869"/>
      <c r="C48" s="1122">
        <v>132700</v>
      </c>
      <c r="D48" s="1122" t="s">
        <v>2480</v>
      </c>
      <c r="E48" s="1123" t="s">
        <v>1192</v>
      </c>
      <c r="F48" s="1872">
        <v>0</v>
      </c>
      <c r="G48" s="1883">
        <v>0</v>
      </c>
      <c r="H48" s="1873">
        <v>0</v>
      </c>
      <c r="I48" s="1885" t="s">
        <v>2440</v>
      </c>
      <c r="J48" s="1874" t="s">
        <v>2440</v>
      </c>
      <c r="K48" s="1874"/>
      <c r="L48" s="1875" t="s">
        <v>2440</v>
      </c>
      <c r="M48" s="1121"/>
    </row>
    <row r="49" spans="1:13">
      <c r="A49" s="1110"/>
      <c r="B49" s="1869"/>
      <c r="C49" s="1122">
        <v>132705</v>
      </c>
      <c r="D49" s="1122" t="s">
        <v>2481</v>
      </c>
      <c r="E49" s="1123" t="s">
        <v>895</v>
      </c>
      <c r="F49" s="1872">
        <v>329306.94</v>
      </c>
      <c r="G49" s="1883">
        <v>329612.52</v>
      </c>
      <c r="H49" s="1873">
        <v>329459.73</v>
      </c>
      <c r="I49" s="1885">
        <v>329459.73</v>
      </c>
      <c r="J49" s="1874" t="s">
        <v>2440</v>
      </c>
      <c r="K49" s="1874" t="s">
        <v>2440</v>
      </c>
      <c r="L49" s="1875" t="s">
        <v>2440</v>
      </c>
      <c r="M49" s="1121"/>
    </row>
    <row r="50" spans="1:13">
      <c r="A50" s="1110"/>
      <c r="B50" s="1869"/>
      <c r="C50" s="1122">
        <v>132740</v>
      </c>
      <c r="D50" s="1122" t="s">
        <v>2482</v>
      </c>
      <c r="E50" s="1123" t="s">
        <v>895</v>
      </c>
      <c r="F50" s="1872">
        <v>83763.009999999995</v>
      </c>
      <c r="G50" s="1883">
        <v>80670.25</v>
      </c>
      <c r="H50" s="1873">
        <v>82216.63</v>
      </c>
      <c r="I50" s="1885">
        <v>82216.63</v>
      </c>
      <c r="J50" s="1874" t="s">
        <v>2440</v>
      </c>
      <c r="K50" s="1874" t="s">
        <v>2440</v>
      </c>
      <c r="L50" s="1875" t="s">
        <v>2440</v>
      </c>
      <c r="M50" s="1121"/>
    </row>
    <row r="51" spans="1:13">
      <c r="A51" s="1110"/>
      <c r="B51" s="1869"/>
      <c r="C51" s="1122">
        <v>132755</v>
      </c>
      <c r="D51" s="1122" t="s">
        <v>2483</v>
      </c>
      <c r="E51" s="1123" t="s">
        <v>1193</v>
      </c>
      <c r="F51" s="1872">
        <v>167298.79999999999</v>
      </c>
      <c r="G51" s="1883">
        <v>58857.7</v>
      </c>
      <c r="H51" s="1873">
        <v>113078.25</v>
      </c>
      <c r="I51" s="1885" t="s">
        <v>2440</v>
      </c>
      <c r="J51" s="1874" t="s">
        <v>2440</v>
      </c>
      <c r="K51" s="1874" t="s">
        <v>2440</v>
      </c>
      <c r="L51" s="1875">
        <v>113078.25</v>
      </c>
      <c r="M51" s="1121"/>
    </row>
    <row r="52" spans="1:13">
      <c r="A52" s="1110"/>
      <c r="B52" s="1869"/>
      <c r="C52" s="1122">
        <v>132825</v>
      </c>
      <c r="D52" s="1122" t="s">
        <v>2484</v>
      </c>
      <c r="E52" s="1123" t="s">
        <v>895</v>
      </c>
      <c r="F52" s="1872">
        <v>0</v>
      </c>
      <c r="G52" s="1883">
        <v>793018</v>
      </c>
      <c r="H52" s="1873">
        <v>396509</v>
      </c>
      <c r="I52" s="1885">
        <v>396509</v>
      </c>
      <c r="J52" s="1874" t="s">
        <v>2440</v>
      </c>
      <c r="K52" s="1874" t="s">
        <v>2440</v>
      </c>
      <c r="L52" s="1875" t="s">
        <v>2440</v>
      </c>
      <c r="M52" s="1121"/>
    </row>
    <row r="53" spans="1:13">
      <c r="A53" s="1110"/>
      <c r="B53" s="1869"/>
      <c r="C53" s="1122">
        <v>132831</v>
      </c>
      <c r="D53" s="1122" t="s">
        <v>2485</v>
      </c>
      <c r="E53" s="1123" t="s">
        <v>895</v>
      </c>
      <c r="F53" s="1872">
        <v>0</v>
      </c>
      <c r="G53" s="1883">
        <v>0</v>
      </c>
      <c r="H53" s="1873">
        <v>0</v>
      </c>
      <c r="I53" s="1885"/>
      <c r="J53" s="1874" t="s">
        <v>2440</v>
      </c>
      <c r="K53" s="1874" t="s">
        <v>2440</v>
      </c>
      <c r="L53" s="1875" t="s">
        <v>2440</v>
      </c>
      <c r="M53" s="1121"/>
    </row>
    <row r="54" spans="1:13">
      <c r="A54" s="1110"/>
      <c r="B54" s="1869"/>
      <c r="C54" s="1122">
        <v>132900</v>
      </c>
      <c r="D54" s="1122" t="s">
        <v>2486</v>
      </c>
      <c r="E54" s="1123" t="s">
        <v>1193</v>
      </c>
      <c r="F54" s="1872">
        <v>2314999.44</v>
      </c>
      <c r="G54" s="1883">
        <v>4246966.7300000004</v>
      </c>
      <c r="H54" s="1873">
        <v>3280983.085</v>
      </c>
      <c r="I54" s="1885" t="s">
        <v>2440</v>
      </c>
      <c r="J54" s="1874" t="s">
        <v>2440</v>
      </c>
      <c r="K54" s="1874" t="s">
        <v>2440</v>
      </c>
      <c r="L54" s="1875">
        <v>3280983.085</v>
      </c>
      <c r="M54" s="1121"/>
    </row>
    <row r="55" spans="1:13">
      <c r="A55" s="1110"/>
      <c r="B55" s="1869"/>
      <c r="C55" s="1122">
        <v>132901</v>
      </c>
      <c r="D55" s="1122" t="s">
        <v>2487</v>
      </c>
      <c r="E55" s="1123" t="s">
        <v>895</v>
      </c>
      <c r="F55" s="1872">
        <v>1516604.18</v>
      </c>
      <c r="G55" s="1883">
        <v>1841882.23</v>
      </c>
      <c r="H55" s="1873">
        <v>1679243.2050000001</v>
      </c>
      <c r="I55" s="1885">
        <v>1679243.2050000001</v>
      </c>
      <c r="J55" s="1874" t="s">
        <v>2440</v>
      </c>
      <c r="K55" s="1874" t="s">
        <v>2440</v>
      </c>
      <c r="L55" s="1875" t="s">
        <v>2440</v>
      </c>
      <c r="M55" s="1121"/>
    </row>
    <row r="56" spans="1:13">
      <c r="A56" s="1110"/>
      <c r="B56" s="1869"/>
      <c r="C56" s="1122">
        <v>132903</v>
      </c>
      <c r="D56" s="1122" t="s">
        <v>2488</v>
      </c>
      <c r="E56" s="1123" t="s">
        <v>895</v>
      </c>
      <c r="F56" s="1872">
        <v>3454128.01</v>
      </c>
      <c r="G56" s="1883">
        <v>3288667.75</v>
      </c>
      <c r="H56" s="1873">
        <v>3371397.88</v>
      </c>
      <c r="I56" s="1885">
        <v>3371397.88</v>
      </c>
      <c r="J56" s="1874" t="s">
        <v>2440</v>
      </c>
      <c r="K56" s="1874" t="s">
        <v>2440</v>
      </c>
      <c r="L56" s="1875" t="s">
        <v>2440</v>
      </c>
      <c r="M56" s="1121"/>
    </row>
    <row r="57" spans="1:13">
      <c r="A57" s="1110"/>
      <c r="B57" s="1869"/>
      <c r="C57" s="1122">
        <v>132904</v>
      </c>
      <c r="D57" s="1122" t="s">
        <v>2489</v>
      </c>
      <c r="E57" s="1123" t="s">
        <v>895</v>
      </c>
      <c r="F57" s="1872">
        <v>312487.21000000002</v>
      </c>
      <c r="G57" s="1883">
        <v>328013.87</v>
      </c>
      <c r="H57" s="1873">
        <v>320250.54000000004</v>
      </c>
      <c r="I57" s="1885">
        <v>320250.54000000004</v>
      </c>
      <c r="J57" s="1874" t="s">
        <v>2440</v>
      </c>
      <c r="K57" s="1874" t="s">
        <v>2440</v>
      </c>
      <c r="L57" s="1875" t="s">
        <v>2440</v>
      </c>
      <c r="M57" s="1121"/>
    </row>
    <row r="58" spans="1:13">
      <c r="A58" s="1110"/>
      <c r="B58" s="1869"/>
      <c r="C58" s="1122">
        <v>132909</v>
      </c>
      <c r="D58" s="1122" t="s">
        <v>2490</v>
      </c>
      <c r="E58" s="1123" t="s">
        <v>1193</v>
      </c>
      <c r="F58" s="1872">
        <v>0</v>
      </c>
      <c r="G58" s="1883">
        <v>0</v>
      </c>
      <c r="H58" s="1873">
        <v>0</v>
      </c>
      <c r="I58" s="1885" t="s">
        <v>2440</v>
      </c>
      <c r="J58" s="1874" t="s">
        <v>2440</v>
      </c>
      <c r="K58" s="1874" t="s">
        <v>2440</v>
      </c>
      <c r="L58" s="1875"/>
      <c r="M58" s="1121"/>
    </row>
    <row r="59" spans="1:13">
      <c r="A59" s="1110"/>
      <c r="B59" s="1869"/>
      <c r="C59" s="1122">
        <v>132910</v>
      </c>
      <c r="D59" s="1122" t="s">
        <v>2491</v>
      </c>
      <c r="E59" s="1123" t="s">
        <v>1193</v>
      </c>
      <c r="F59" s="1872">
        <v>15133476.02</v>
      </c>
      <c r="G59" s="1883">
        <v>16909682.239999998</v>
      </c>
      <c r="H59" s="1873">
        <v>16021579.129999999</v>
      </c>
      <c r="I59" s="1885" t="s">
        <v>2440</v>
      </c>
      <c r="J59" s="1874" t="s">
        <v>2440</v>
      </c>
      <c r="K59" s="1874" t="s">
        <v>2440</v>
      </c>
      <c r="L59" s="1875">
        <v>16021579.129999999</v>
      </c>
      <c r="M59" s="1121"/>
    </row>
    <row r="60" spans="1:13">
      <c r="A60" s="1110"/>
      <c r="B60" s="1869"/>
      <c r="C60" s="1122">
        <v>132926</v>
      </c>
      <c r="D60" s="1122" t="s">
        <v>2492</v>
      </c>
      <c r="E60" s="1123" t="s">
        <v>895</v>
      </c>
      <c r="F60" s="1872">
        <v>0</v>
      </c>
      <c r="G60" s="1883">
        <v>0</v>
      </c>
      <c r="H60" s="1873">
        <v>0</v>
      </c>
      <c r="I60" s="1885"/>
      <c r="J60" s="1874" t="s">
        <v>2440</v>
      </c>
      <c r="K60" s="1874" t="s">
        <v>2440</v>
      </c>
      <c r="L60" s="1875" t="s">
        <v>2440</v>
      </c>
      <c r="M60" s="1121"/>
    </row>
    <row r="61" spans="1:13">
      <c r="A61" s="1110"/>
      <c r="B61" s="1869"/>
      <c r="C61" s="1122">
        <v>134100</v>
      </c>
      <c r="D61" s="1122" t="s">
        <v>2493</v>
      </c>
      <c r="E61" s="1123" t="s">
        <v>895</v>
      </c>
      <c r="F61" s="1872">
        <v>1422999.86</v>
      </c>
      <c r="G61" s="1883">
        <v>0</v>
      </c>
      <c r="H61" s="1873">
        <v>711499.93</v>
      </c>
      <c r="I61" s="1885">
        <v>711499.93</v>
      </c>
      <c r="J61" s="1874" t="s">
        <v>2440</v>
      </c>
      <c r="K61" s="1874" t="s">
        <v>2440</v>
      </c>
      <c r="L61" s="1875" t="s">
        <v>2440</v>
      </c>
      <c r="M61" s="1121"/>
    </row>
    <row r="62" spans="1:13">
      <c r="A62" s="1110"/>
      <c r="B62" s="1869"/>
      <c r="C62" s="1122">
        <v>134101</v>
      </c>
      <c r="D62" s="1122" t="s">
        <v>2494</v>
      </c>
      <c r="E62" s="1123" t="s">
        <v>895</v>
      </c>
      <c r="F62" s="1872">
        <v>1425639.21</v>
      </c>
      <c r="G62" s="1883">
        <v>1654051.08</v>
      </c>
      <c r="H62" s="1873">
        <v>1539845.145</v>
      </c>
      <c r="I62" s="1885">
        <v>1539845.145</v>
      </c>
      <c r="J62" s="1874" t="s">
        <v>2440</v>
      </c>
      <c r="K62" s="1874" t="s">
        <v>2440</v>
      </c>
      <c r="L62" s="1875" t="s">
        <v>2440</v>
      </c>
      <c r="M62" s="1121"/>
    </row>
    <row r="63" spans="1:13">
      <c r="A63" s="1110"/>
      <c r="B63" s="1869"/>
      <c r="C63" s="1122">
        <v>134102</v>
      </c>
      <c r="D63" s="1122" t="s">
        <v>2495</v>
      </c>
      <c r="E63" s="1123" t="s">
        <v>895</v>
      </c>
      <c r="F63" s="1872">
        <v>29207505.899999999</v>
      </c>
      <c r="G63" s="1883">
        <v>12628732.6</v>
      </c>
      <c r="H63" s="1873">
        <v>20918119.25</v>
      </c>
      <c r="I63" s="1885">
        <v>20918119.25</v>
      </c>
      <c r="J63" s="1874" t="s">
        <v>2440</v>
      </c>
      <c r="K63" s="1874" t="s">
        <v>2440</v>
      </c>
      <c r="L63" s="1875" t="s">
        <v>2440</v>
      </c>
      <c r="M63" s="1121"/>
    </row>
    <row r="64" spans="1:13">
      <c r="A64" s="1110"/>
      <c r="B64" s="1869"/>
      <c r="C64" s="1122">
        <v>185363</v>
      </c>
      <c r="D64" s="1122" t="s">
        <v>2496</v>
      </c>
      <c r="E64" s="1123" t="s">
        <v>895</v>
      </c>
      <c r="F64" s="1872">
        <v>250000</v>
      </c>
      <c r="G64" s="1883">
        <v>250000</v>
      </c>
      <c r="H64" s="1873">
        <v>250000</v>
      </c>
      <c r="I64" s="1885">
        <v>250000</v>
      </c>
      <c r="J64" s="1874" t="s">
        <v>2440</v>
      </c>
      <c r="K64" s="1874" t="s">
        <v>2440</v>
      </c>
      <c r="L64" s="1875" t="s">
        <v>2440</v>
      </c>
      <c r="M64" s="1121"/>
    </row>
    <row r="65" spans="1:13">
      <c r="A65" s="1110"/>
      <c r="B65" s="1869">
        <v>1653000</v>
      </c>
      <c r="C65" s="1122">
        <v>132303</v>
      </c>
      <c r="D65" s="1122" t="s">
        <v>2497</v>
      </c>
      <c r="E65" s="1123" t="s">
        <v>895</v>
      </c>
      <c r="F65" s="1872">
        <v>2124273.5299999998</v>
      </c>
      <c r="G65" s="1883">
        <v>1932817.56</v>
      </c>
      <c r="H65" s="1873">
        <v>2028545.5449999999</v>
      </c>
      <c r="I65" s="1885">
        <v>2028545.5449999999</v>
      </c>
      <c r="J65" s="1874" t="s">
        <v>2440</v>
      </c>
      <c r="K65" s="1874" t="s">
        <v>2440</v>
      </c>
      <c r="L65" s="1875" t="s">
        <v>2440</v>
      </c>
      <c r="M65" s="1121"/>
    </row>
    <row r="66" spans="1:13">
      <c r="A66" s="1110"/>
      <c r="B66" s="1869"/>
      <c r="C66" s="1122">
        <v>132304</v>
      </c>
      <c r="D66" s="1122" t="s">
        <v>2498</v>
      </c>
      <c r="E66" s="1123" t="s">
        <v>895</v>
      </c>
      <c r="F66" s="1872">
        <v>0</v>
      </c>
      <c r="G66" s="1883">
        <v>0</v>
      </c>
      <c r="H66" s="1873">
        <v>0</v>
      </c>
      <c r="I66" s="1885"/>
      <c r="J66" s="1874" t="s">
        <v>2440</v>
      </c>
      <c r="K66" s="1874" t="s">
        <v>2440</v>
      </c>
      <c r="L66" s="1875" t="s">
        <v>2440</v>
      </c>
      <c r="M66" s="1121"/>
    </row>
    <row r="67" spans="1:13">
      <c r="A67" s="1110"/>
      <c r="B67" s="1869"/>
      <c r="C67" s="1122">
        <v>203000</v>
      </c>
      <c r="D67" s="1122" t="s">
        <v>2499</v>
      </c>
      <c r="E67" s="1123" t="s">
        <v>895</v>
      </c>
      <c r="F67" s="1872">
        <v>1569759.79</v>
      </c>
      <c r="G67" s="1883">
        <v>171315.84</v>
      </c>
      <c r="H67" s="1873">
        <v>870537.81500000006</v>
      </c>
      <c r="I67" s="1885">
        <v>870537.81500000006</v>
      </c>
      <c r="J67" s="1874" t="s">
        <v>2440</v>
      </c>
      <c r="K67" s="1874" t="s">
        <v>2440</v>
      </c>
      <c r="L67" s="1875" t="s">
        <v>2440</v>
      </c>
      <c r="M67" s="1121"/>
    </row>
    <row r="68" spans="1:13" ht="15.75" thickBot="1">
      <c r="A68" s="1110"/>
      <c r="B68" s="1887">
        <v>1655000</v>
      </c>
      <c r="C68" s="1871">
        <v>132400</v>
      </c>
      <c r="D68" s="1122" t="s">
        <v>2500</v>
      </c>
      <c r="E68" s="1123" t="s">
        <v>895</v>
      </c>
      <c r="F68" s="1892">
        <v>0</v>
      </c>
      <c r="G68" s="1893">
        <v>0</v>
      </c>
      <c r="H68" s="1894">
        <v>0</v>
      </c>
      <c r="I68" s="1885"/>
      <c r="J68" s="1874" t="s">
        <v>2440</v>
      </c>
      <c r="K68" s="1874" t="s">
        <v>2440</v>
      </c>
      <c r="L68" s="1875" t="s">
        <v>2440</v>
      </c>
      <c r="M68" s="1121"/>
    </row>
    <row r="69" spans="1:13" ht="15.75" thickBot="1">
      <c r="A69" s="1098"/>
      <c r="B69" s="1098"/>
      <c r="C69" s="1098"/>
      <c r="D69" s="1888" t="s">
        <v>1194</v>
      </c>
      <c r="E69" s="1889"/>
      <c r="F69" s="1124">
        <f t="shared" ref="F69:L69" si="0">SUM(F7:F68)</f>
        <v>224499605.64000013</v>
      </c>
      <c r="G69" s="1890">
        <f t="shared" si="0"/>
        <v>324807839.46000004</v>
      </c>
      <c r="H69" s="1125">
        <f t="shared" si="0"/>
        <v>274653722.55000001</v>
      </c>
      <c r="I69" s="1124">
        <f t="shared" si="0"/>
        <v>84127145.515000001</v>
      </c>
      <c r="J69" s="1124">
        <f t="shared" si="0"/>
        <v>0</v>
      </c>
      <c r="K69" s="1124">
        <f t="shared" si="0"/>
        <v>169845357.80500001</v>
      </c>
      <c r="L69" s="1876">
        <f t="shared" si="0"/>
        <v>20681219.229999997</v>
      </c>
      <c r="M69" s="1121"/>
    </row>
    <row r="70" spans="1:13">
      <c r="A70" s="1113"/>
      <c r="B70" s="1098"/>
      <c r="C70" s="1098"/>
      <c r="D70" s="1113"/>
      <c r="E70" s="1113"/>
      <c r="F70" s="1113"/>
      <c r="G70" s="1113"/>
      <c r="H70" s="1113"/>
      <c r="I70" s="1113"/>
      <c r="J70" s="1113"/>
      <c r="K70" s="1113"/>
      <c r="L70" s="1113"/>
      <c r="M70" s="1113"/>
    </row>
    <row r="71" spans="1:13">
      <c r="A71" s="1113"/>
      <c r="B71" s="1113"/>
      <c r="C71" s="1113"/>
      <c r="D71" s="1113"/>
      <c r="E71" s="1113"/>
      <c r="F71" s="1113"/>
      <c r="G71" s="1113"/>
      <c r="H71" s="1113"/>
      <c r="I71" s="1113"/>
      <c r="J71" s="1113"/>
      <c r="K71" s="1113"/>
      <c r="L71" s="1113"/>
      <c r="M71" s="1113"/>
    </row>
    <row r="72" spans="1:13">
      <c r="A72" s="1098"/>
      <c r="B72" s="1098"/>
      <c r="C72" s="1098"/>
      <c r="D72" s="1098"/>
      <c r="E72" s="1098"/>
      <c r="F72" s="1098"/>
      <c r="G72" s="1126" t="s">
        <v>672</v>
      </c>
      <c r="H72" s="1127"/>
      <c r="I72" s="1128">
        <v>0</v>
      </c>
      <c r="J72" s="1128">
        <v>1</v>
      </c>
      <c r="K72" s="1129">
        <f>Allocator.net.plant</f>
        <v>0.37582955585006861</v>
      </c>
      <c r="L72" s="1129">
        <f>Allocator.wages.salary</f>
        <v>9.4690139101538909E-2</v>
      </c>
      <c r="M72" s="1098"/>
    </row>
    <row r="73" spans="1:13">
      <c r="A73" s="1098"/>
      <c r="B73" s="1098"/>
      <c r="C73" s="1098"/>
      <c r="D73" s="1098"/>
      <c r="E73" s="1098"/>
      <c r="F73" s="1098"/>
      <c r="G73" s="1126" t="s">
        <v>1195</v>
      </c>
      <c r="H73" s="1127"/>
      <c r="I73" s="1130">
        <f>I69*I72</f>
        <v>0</v>
      </c>
      <c r="J73" s="1130">
        <f>J69*J72</f>
        <v>0</v>
      </c>
      <c r="K73" s="1130">
        <f>K69*K72</f>
        <v>63832905.387049139</v>
      </c>
      <c r="L73" s="1130">
        <f>L69*L72</f>
        <v>1958307.525678121</v>
      </c>
      <c r="M73" s="1098"/>
    </row>
    <row r="74" spans="1:13">
      <c r="A74" s="1098"/>
      <c r="B74" s="1098"/>
      <c r="C74" s="1098"/>
      <c r="D74" s="1098"/>
      <c r="E74" s="1098"/>
      <c r="F74" s="1098"/>
      <c r="G74" s="1131"/>
      <c r="H74" s="1132"/>
      <c r="I74" s="1132"/>
      <c r="J74" s="1132"/>
      <c r="K74" s="1132"/>
      <c r="L74" s="1132"/>
      <c r="M74" s="1098"/>
    </row>
    <row r="75" spans="1:13" ht="15.75" thickBot="1">
      <c r="A75" s="1098"/>
      <c r="B75" s="1098"/>
      <c r="C75" s="1098"/>
      <c r="D75" s="1098"/>
      <c r="E75" s="1098"/>
      <c r="F75" s="1098"/>
      <c r="G75" s="1133" t="s">
        <v>1196</v>
      </c>
      <c r="H75" s="1134">
        <f>SUM(I73:L73)</f>
        <v>65791212.912727259</v>
      </c>
      <c r="I75" s="1127"/>
      <c r="J75" s="1132"/>
      <c r="K75" s="1132"/>
      <c r="L75" s="1127"/>
      <c r="M75" s="1098"/>
    </row>
    <row r="76" spans="1:13">
      <c r="A76" s="1113"/>
      <c r="B76" s="1113"/>
      <c r="C76" s="1113"/>
      <c r="D76" s="1113"/>
      <c r="E76" s="1113"/>
      <c r="F76" s="1113"/>
      <c r="G76" s="1113"/>
      <c r="H76" s="1113"/>
      <c r="I76" s="1113"/>
      <c r="J76" s="1113"/>
      <c r="K76" s="1113"/>
      <c r="L76" s="1113"/>
      <c r="M76" s="1113"/>
    </row>
    <row r="77" spans="1:13">
      <c r="A77" s="1113"/>
      <c r="B77" s="1113"/>
      <c r="C77" s="1113"/>
      <c r="D77" s="1113"/>
      <c r="E77" s="1113"/>
      <c r="F77" s="1113"/>
      <c r="G77" s="1113"/>
      <c r="H77" s="1113"/>
      <c r="I77" s="1113"/>
      <c r="J77" s="1113"/>
      <c r="K77" s="1113"/>
      <c r="L77" s="1113"/>
      <c r="M77" s="1113"/>
    </row>
    <row r="78" spans="1:13">
      <c r="A78" s="1113"/>
      <c r="B78" s="1113"/>
      <c r="C78" s="1113"/>
      <c r="D78" s="1113"/>
      <c r="E78" s="1113"/>
      <c r="F78" s="1113"/>
      <c r="G78" s="1113"/>
      <c r="H78" s="1113"/>
      <c r="I78" s="1113"/>
      <c r="J78" s="1113"/>
      <c r="K78" s="1113"/>
      <c r="L78" s="1113"/>
      <c r="M78" s="1113"/>
    </row>
    <row r="79" spans="1:13">
      <c r="A79" s="1113"/>
      <c r="B79" s="1113"/>
      <c r="C79" s="1113"/>
      <c r="D79" s="1113"/>
      <c r="E79" s="1113"/>
      <c r="F79" s="1113"/>
      <c r="G79" s="1135"/>
      <c r="H79" s="1113"/>
      <c r="I79" s="1113"/>
      <c r="J79" s="1113"/>
      <c r="K79" s="1113"/>
      <c r="L79" s="1113"/>
      <c r="M79" s="1113"/>
    </row>
    <row r="80" spans="1:13">
      <c r="A80" s="1113"/>
      <c r="B80" s="1113"/>
      <c r="C80" s="1113"/>
      <c r="D80" s="1113"/>
      <c r="E80" s="1113"/>
      <c r="F80" s="1113"/>
      <c r="G80" s="1113"/>
      <c r="H80" s="1113"/>
      <c r="I80" s="1113"/>
      <c r="J80" s="1113"/>
      <c r="K80" s="1113"/>
      <c r="L80" s="1113"/>
      <c r="M80" s="1113"/>
    </row>
    <row r="81" spans="1:13">
      <c r="A81" s="1113"/>
      <c r="B81" s="1113"/>
      <c r="C81" s="1113"/>
      <c r="D81" s="1113"/>
      <c r="E81" s="1113"/>
      <c r="F81" s="1113"/>
      <c r="G81" s="1113"/>
      <c r="H81" s="1113"/>
      <c r="I81" s="1113"/>
      <c r="J81" s="1113"/>
      <c r="K81" s="1113"/>
      <c r="L81" s="1113"/>
      <c r="M81" s="1113"/>
    </row>
    <row r="82" spans="1:13">
      <c r="A82" s="1113"/>
      <c r="B82" s="1113"/>
      <c r="C82" s="1113"/>
      <c r="D82" s="1113"/>
      <c r="E82" s="1113"/>
      <c r="F82" s="1113"/>
      <c r="G82" s="1113"/>
      <c r="H82" s="1113"/>
      <c r="I82" s="1113"/>
      <c r="J82" s="1113"/>
      <c r="K82" s="1113"/>
      <c r="L82" s="1113"/>
      <c r="M82" s="1113"/>
    </row>
    <row r="83" spans="1:13">
      <c r="A83" s="1113"/>
      <c r="B83" s="1113"/>
      <c r="C83" s="1113"/>
      <c r="D83" s="1113"/>
      <c r="E83" s="1113"/>
      <c r="F83" s="1113"/>
      <c r="G83" s="1113"/>
      <c r="H83" s="1113"/>
      <c r="I83" s="1113"/>
      <c r="J83" s="1113"/>
      <c r="K83" s="1113"/>
      <c r="L83" s="1113"/>
      <c r="M83" s="1113"/>
    </row>
    <row r="84" spans="1:13">
      <c r="A84" s="1113"/>
      <c r="B84" s="1113"/>
      <c r="C84" s="1113"/>
      <c r="D84" s="1113"/>
      <c r="E84" s="1113"/>
      <c r="F84" s="1113"/>
      <c r="G84" s="1113"/>
      <c r="H84" s="1113"/>
      <c r="I84" s="1113"/>
      <c r="J84" s="1113"/>
      <c r="K84" s="1113"/>
      <c r="L84" s="1113"/>
      <c r="M84" s="1113"/>
    </row>
    <row r="85" spans="1:13">
      <c r="A85" s="1113"/>
      <c r="B85" s="1113"/>
      <c r="C85" s="1113"/>
      <c r="D85" s="1113"/>
      <c r="E85" s="1113"/>
      <c r="F85" s="1113"/>
      <c r="G85" s="1113"/>
      <c r="H85" s="1113"/>
      <c r="I85" s="1113"/>
      <c r="J85" s="1113"/>
      <c r="K85" s="1113"/>
      <c r="L85" s="1113"/>
      <c r="M85" s="1113"/>
    </row>
    <row r="86" spans="1:13">
      <c r="A86" s="1113"/>
      <c r="B86" s="1113"/>
      <c r="C86" s="1113"/>
      <c r="D86" s="1113"/>
      <c r="E86" s="1113"/>
      <c r="F86" s="1113"/>
      <c r="G86" s="1113"/>
      <c r="H86" s="1113"/>
      <c r="I86" s="1113"/>
      <c r="J86" s="1113"/>
      <c r="K86" s="1113"/>
      <c r="L86" s="1113"/>
      <c r="M86" s="1113"/>
    </row>
    <row r="87" spans="1:13">
      <c r="A87" s="1113"/>
      <c r="B87" s="1113"/>
      <c r="C87" s="1113"/>
      <c r="D87" s="1113"/>
      <c r="E87" s="1113"/>
      <c r="F87" s="1113"/>
      <c r="G87" s="1113"/>
      <c r="H87" s="1113"/>
      <c r="I87" s="1113"/>
      <c r="J87" s="1113"/>
      <c r="K87" s="1113"/>
      <c r="L87" s="1113"/>
      <c r="M87" s="1113"/>
    </row>
    <row r="88" spans="1:13">
      <c r="A88" s="1113"/>
      <c r="B88" s="1113"/>
      <c r="C88" s="1113"/>
      <c r="D88" s="1113"/>
      <c r="E88" s="1113"/>
      <c r="F88" s="1113"/>
      <c r="G88" s="1113"/>
      <c r="H88" s="1113"/>
      <c r="I88" s="1113"/>
      <c r="J88" s="1113"/>
      <c r="K88" s="1113"/>
      <c r="L88" s="1113"/>
      <c r="M88" s="1113"/>
    </row>
    <row r="89" spans="1:13">
      <c r="A89" s="1113"/>
      <c r="B89" s="1113"/>
      <c r="C89" s="1113"/>
      <c r="D89" s="1113"/>
      <c r="E89" s="1113"/>
      <c r="F89" s="1113"/>
      <c r="G89" s="1113"/>
      <c r="H89" s="1113"/>
      <c r="I89" s="1113"/>
      <c r="J89" s="1113"/>
      <c r="K89" s="1113"/>
      <c r="L89" s="1113"/>
      <c r="M89" s="1113"/>
    </row>
    <row r="90" spans="1:13">
      <c r="A90" s="1113"/>
      <c r="B90" s="1113"/>
      <c r="C90" s="1113"/>
      <c r="D90" s="1113"/>
      <c r="E90" s="1113"/>
      <c r="F90" s="1113"/>
      <c r="G90" s="1113"/>
      <c r="H90" s="1113"/>
      <c r="I90" s="1113"/>
      <c r="J90" s="1113"/>
      <c r="K90" s="1113"/>
      <c r="L90" s="1113"/>
      <c r="M90" s="1113"/>
    </row>
    <row r="91" spans="1:13">
      <c r="A91" s="1113"/>
      <c r="B91" s="1113"/>
      <c r="C91" s="1113"/>
      <c r="D91" s="1113"/>
      <c r="E91" s="1113"/>
      <c r="F91" s="1113"/>
      <c r="G91" s="1113"/>
      <c r="H91" s="1113"/>
      <c r="I91" s="1113"/>
      <c r="J91" s="1113"/>
      <c r="K91" s="1113"/>
      <c r="L91" s="1113"/>
      <c r="M91" s="1113"/>
    </row>
    <row r="92" spans="1:13">
      <c r="A92" s="1113"/>
      <c r="B92" s="1113"/>
      <c r="C92" s="1113"/>
      <c r="D92" s="1113"/>
      <c r="E92" s="1113"/>
      <c r="F92" s="1113"/>
      <c r="G92" s="1113"/>
      <c r="H92" s="1113"/>
      <c r="I92" s="1113"/>
      <c r="J92" s="1113"/>
      <c r="K92" s="1113"/>
      <c r="L92" s="1113"/>
      <c r="M92" s="1113"/>
    </row>
    <row r="93" spans="1:13">
      <c r="A93" s="1113"/>
      <c r="B93" s="1113"/>
      <c r="C93" s="1113"/>
      <c r="D93" s="1113"/>
      <c r="E93" s="1113"/>
      <c r="F93" s="1113"/>
      <c r="G93" s="1113"/>
      <c r="H93" s="1113"/>
      <c r="I93" s="1113"/>
      <c r="J93" s="1113"/>
      <c r="K93" s="1113"/>
      <c r="L93" s="1113"/>
      <c r="M93" s="1113"/>
    </row>
    <row r="94" spans="1:13">
      <c r="A94" s="1113"/>
      <c r="B94" s="1113"/>
      <c r="C94" s="1113"/>
      <c r="D94" s="1113"/>
      <c r="E94" s="1113"/>
      <c r="F94" s="1113"/>
      <c r="G94" s="1113"/>
      <c r="H94" s="1113"/>
      <c r="I94" s="1113"/>
      <c r="J94" s="1113"/>
      <c r="K94" s="1113"/>
      <c r="L94" s="1113"/>
      <c r="M94" s="1113"/>
    </row>
    <row r="95" spans="1:13">
      <c r="A95" s="1113"/>
      <c r="B95" s="1113"/>
      <c r="C95" s="1113"/>
      <c r="D95" s="1113"/>
      <c r="E95" s="1113"/>
      <c r="F95" s="1113"/>
      <c r="G95" s="1113"/>
      <c r="H95" s="1113"/>
      <c r="I95" s="1113"/>
      <c r="J95" s="1113"/>
      <c r="K95" s="1113"/>
      <c r="L95" s="1113"/>
      <c r="M95" s="1113"/>
    </row>
    <row r="96" spans="1:13">
      <c r="A96" s="1113"/>
      <c r="B96" s="1113"/>
      <c r="C96" s="1113"/>
      <c r="D96" s="1113"/>
      <c r="E96" s="1113"/>
      <c r="F96" s="1113"/>
      <c r="G96" s="1113"/>
      <c r="H96" s="1113"/>
      <c r="I96" s="1113"/>
      <c r="J96" s="1113"/>
      <c r="K96" s="1113"/>
      <c r="L96" s="1113"/>
      <c r="M96" s="1113"/>
    </row>
  </sheetData>
  <pageMargins left="0.7" right="0.7" top="0.75" bottom="0.75" header="0.3" footer="0.3"/>
  <pageSetup scale="45"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24"/>
  <sheetViews>
    <sheetView workbookViewId="0">
      <selection activeCell="B5" sqref="B5"/>
    </sheetView>
  </sheetViews>
  <sheetFormatPr defaultRowHeight="15"/>
  <cols>
    <col min="1" max="1" width="5.5703125" customWidth="1"/>
    <col min="2" max="2" width="53" customWidth="1"/>
    <col min="3" max="4" width="20.85546875" customWidth="1"/>
    <col min="5" max="5" width="18" bestFit="1" customWidth="1"/>
    <col min="8" max="8" width="11.7109375" bestFit="1" customWidth="1"/>
    <col min="9" max="9" width="18.28515625" bestFit="1" customWidth="1"/>
    <col min="10" max="10" width="11.7109375" bestFit="1" customWidth="1"/>
  </cols>
  <sheetData>
    <row r="1" spans="1:14" ht="15.75">
      <c r="A1" s="1132"/>
      <c r="B1" s="336" t="s">
        <v>2</v>
      </c>
      <c r="C1" s="336"/>
      <c r="D1" s="336"/>
      <c r="E1" s="336"/>
      <c r="F1" s="332"/>
      <c r="G1" s="332"/>
      <c r="H1" s="332"/>
      <c r="I1" s="332"/>
      <c r="J1" s="332"/>
      <c r="K1" s="332"/>
      <c r="L1" s="332"/>
      <c r="M1" s="332"/>
      <c r="N1" s="332"/>
    </row>
    <row r="2" spans="1:14" ht="15.75">
      <c r="A2" s="1132"/>
      <c r="B2" s="336" t="s">
        <v>1197</v>
      </c>
      <c r="C2" s="336"/>
      <c r="D2" s="336"/>
      <c r="E2" s="336"/>
      <c r="F2" s="332"/>
      <c r="G2" s="332"/>
      <c r="H2" s="332"/>
      <c r="I2" s="332"/>
      <c r="J2" s="332"/>
      <c r="K2" s="332"/>
      <c r="L2" s="332"/>
      <c r="M2" s="332"/>
      <c r="N2" s="332"/>
    </row>
    <row r="3" spans="1:14">
      <c r="A3" s="1132"/>
      <c r="B3" s="1096"/>
      <c r="C3" s="1096"/>
      <c r="D3" s="1096"/>
      <c r="E3" s="1096"/>
      <c r="F3" s="1096"/>
      <c r="G3" s="1096"/>
      <c r="H3" s="1096"/>
      <c r="I3" s="1096"/>
      <c r="J3" s="1096"/>
      <c r="K3" s="1096"/>
      <c r="L3" s="1096"/>
      <c r="M3" s="1096"/>
      <c r="N3" s="1096"/>
    </row>
    <row r="4" spans="1:14">
      <c r="A4" s="1136"/>
      <c r="B4" s="1136"/>
      <c r="C4" s="1136"/>
      <c r="D4" s="1136"/>
      <c r="E4" s="1136"/>
      <c r="F4" s="1136"/>
      <c r="G4" s="1137"/>
      <c r="H4" s="1137"/>
      <c r="I4" s="1137"/>
      <c r="J4" s="1137"/>
      <c r="K4" s="1137"/>
      <c r="L4" s="1137"/>
      <c r="M4" s="1137"/>
      <c r="N4" s="1137"/>
    </row>
    <row r="5" spans="1:14">
      <c r="A5" s="1136"/>
      <c r="B5" s="1138" t="s">
        <v>2187</v>
      </c>
      <c r="C5" s="1138"/>
      <c r="D5" s="1138"/>
      <c r="E5" s="1136"/>
      <c r="F5" s="1136"/>
      <c r="G5" s="1137"/>
      <c r="H5" s="1137"/>
      <c r="I5" s="1137"/>
      <c r="J5" s="1137"/>
      <c r="K5" s="1137"/>
      <c r="L5" s="1137"/>
      <c r="M5" s="1137"/>
      <c r="N5" s="1137"/>
    </row>
    <row r="6" spans="1:14">
      <c r="A6" s="1136"/>
      <c r="B6" s="1139"/>
      <c r="C6" s="1139"/>
      <c r="D6" s="1139"/>
      <c r="E6" s="1136"/>
      <c r="F6" s="1136"/>
      <c r="G6" s="1137"/>
      <c r="H6" s="1137"/>
      <c r="I6" s="1137"/>
      <c r="J6" s="1137"/>
      <c r="K6" s="1137"/>
      <c r="L6" s="1137"/>
      <c r="M6" s="1137"/>
      <c r="N6" s="1137"/>
    </row>
    <row r="7" spans="1:14">
      <c r="A7" s="305"/>
      <c r="B7" s="339"/>
      <c r="C7" s="339"/>
      <c r="D7" s="1140" t="s">
        <v>1198</v>
      </c>
      <c r="E7" s="1141" t="s">
        <v>1199</v>
      </c>
      <c r="F7" s="305"/>
      <c r="G7" s="305"/>
      <c r="H7" s="305"/>
      <c r="I7" s="305"/>
      <c r="J7" s="305"/>
      <c r="K7" s="305"/>
      <c r="L7" s="305"/>
      <c r="M7" s="305"/>
      <c r="N7" s="305"/>
    </row>
    <row r="8" spans="1:14">
      <c r="A8" s="305"/>
      <c r="B8" s="474" t="s">
        <v>2051</v>
      </c>
      <c r="C8" s="474"/>
      <c r="D8" s="1142">
        <v>594174.43000000005</v>
      </c>
      <c r="E8" s="1142">
        <v>594174.43000000005</v>
      </c>
      <c r="F8" s="305"/>
      <c r="G8" s="328"/>
      <c r="H8" s="305"/>
      <c r="I8" s="305"/>
      <c r="J8" s="305"/>
      <c r="K8" s="305"/>
      <c r="L8" s="305"/>
      <c r="M8" s="305"/>
      <c r="N8" s="305"/>
    </row>
    <row r="9" spans="1:14">
      <c r="A9" s="305"/>
      <c r="B9" s="474" t="s">
        <v>1818</v>
      </c>
      <c r="C9" s="474"/>
      <c r="D9" s="1142">
        <v>156105.46</v>
      </c>
      <c r="E9" s="1142">
        <v>156105.46</v>
      </c>
      <c r="F9" s="305"/>
      <c r="G9" s="328" t="s">
        <v>1200</v>
      </c>
      <c r="H9" s="305"/>
      <c r="I9" s="305"/>
      <c r="J9" s="305"/>
      <c r="K9" s="305"/>
      <c r="L9" s="305"/>
      <c r="M9" s="305"/>
      <c r="N9" s="305"/>
    </row>
    <row r="10" spans="1:14">
      <c r="A10" s="305"/>
      <c r="B10" s="474" t="s">
        <v>1819</v>
      </c>
      <c r="C10" s="474"/>
      <c r="D10" s="1142">
        <v>396019.55</v>
      </c>
      <c r="E10" s="1142">
        <v>0</v>
      </c>
      <c r="F10" s="305"/>
      <c r="G10" s="305"/>
      <c r="H10" s="305"/>
      <c r="I10" s="305"/>
      <c r="J10" s="305"/>
      <c r="K10" s="305"/>
      <c r="L10" s="305"/>
      <c r="M10" s="305"/>
      <c r="N10" s="305"/>
    </row>
    <row r="11" spans="1:14">
      <c r="A11" s="305"/>
      <c r="B11" s="474" t="s">
        <v>1820</v>
      </c>
      <c r="C11" s="474"/>
      <c r="D11" s="1142">
        <v>254753.05</v>
      </c>
      <c r="E11" s="1142">
        <v>0</v>
      </c>
      <c r="F11" s="305"/>
      <c r="G11" s="305"/>
      <c r="H11" s="305"/>
      <c r="I11" s="305"/>
      <c r="J11" s="305"/>
      <c r="K11" s="305"/>
      <c r="L11" s="305"/>
      <c r="M11" s="305"/>
      <c r="N11" s="305"/>
    </row>
    <row r="12" spans="1:14">
      <c r="A12" s="305"/>
      <c r="B12" s="474" t="s">
        <v>1821</v>
      </c>
      <c r="C12" s="474"/>
      <c r="D12" s="1142">
        <v>598456.77</v>
      </c>
      <c r="E12" s="1142">
        <v>598456.77</v>
      </c>
      <c r="F12" s="305"/>
      <c r="G12" s="305"/>
      <c r="H12" s="305"/>
      <c r="I12" s="305"/>
      <c r="J12" s="305"/>
      <c r="K12" s="305"/>
      <c r="L12" s="305"/>
      <c r="M12" s="305"/>
      <c r="N12" s="305"/>
    </row>
    <row r="13" spans="1:14">
      <c r="A13" s="305"/>
      <c r="B13" s="474" t="s">
        <v>1822</v>
      </c>
      <c r="C13" s="474"/>
      <c r="D13" s="1142">
        <v>112635.55</v>
      </c>
      <c r="E13" s="1142">
        <v>112635.55</v>
      </c>
      <c r="F13" s="305"/>
      <c r="G13" s="328" t="s">
        <v>1200</v>
      </c>
      <c r="H13" s="305"/>
      <c r="I13" s="305"/>
      <c r="J13" s="305"/>
      <c r="K13" s="305"/>
      <c r="L13" s="305"/>
      <c r="M13" s="305"/>
      <c r="N13" s="305"/>
    </row>
    <row r="14" spans="1:14">
      <c r="A14" s="305"/>
      <c r="B14" s="1143" t="s">
        <v>1201</v>
      </c>
      <c r="C14" s="1143"/>
      <c r="D14" s="1144">
        <f>SUM(D7:D13)</f>
        <v>2112144.81</v>
      </c>
      <c r="E14" s="1144">
        <f>SUM(E7:E13)</f>
        <v>1461372.2100000002</v>
      </c>
      <c r="F14" s="305"/>
      <c r="G14" s="305"/>
      <c r="H14" s="305"/>
      <c r="I14" s="305"/>
      <c r="J14" s="305"/>
      <c r="K14" s="305"/>
      <c r="L14" s="305"/>
      <c r="M14" s="305"/>
      <c r="N14" s="305"/>
    </row>
    <row r="15" spans="1:14">
      <c r="A15" s="305"/>
      <c r="B15" s="479"/>
      <c r="C15" s="479"/>
      <c r="D15" s="479"/>
      <c r="E15" s="1145"/>
      <c r="F15" s="305"/>
      <c r="G15" s="305"/>
      <c r="H15" s="305"/>
      <c r="I15" s="305"/>
      <c r="J15" s="305"/>
      <c r="K15" s="305"/>
      <c r="L15" s="305"/>
      <c r="M15" s="305"/>
      <c r="N15" s="305"/>
    </row>
    <row r="16" spans="1:14">
      <c r="A16" s="305"/>
      <c r="B16" s="479"/>
      <c r="C16" s="479"/>
      <c r="D16" s="479"/>
      <c r="E16" s="1145"/>
      <c r="F16" s="305"/>
      <c r="G16" s="305"/>
      <c r="H16" s="305"/>
      <c r="I16" s="305"/>
      <c r="J16" s="305"/>
      <c r="K16" s="305"/>
      <c r="L16" s="305"/>
      <c r="M16" s="305"/>
      <c r="N16" s="305"/>
    </row>
    <row r="17" spans="1:14">
      <c r="A17" s="305"/>
      <c r="B17" s="305"/>
      <c r="C17" s="305"/>
      <c r="D17" s="1140" t="s">
        <v>1198</v>
      </c>
      <c r="E17" s="1141" t="s">
        <v>1199</v>
      </c>
      <c r="F17" s="305"/>
      <c r="G17" s="305"/>
      <c r="H17" s="305"/>
      <c r="I17" s="305"/>
      <c r="J17" s="305"/>
      <c r="K17" s="305"/>
      <c r="L17" s="305"/>
      <c r="M17" s="305"/>
      <c r="N17" s="305"/>
    </row>
    <row r="18" spans="1:14">
      <c r="A18" s="305"/>
      <c r="B18" s="1146" t="s">
        <v>1202</v>
      </c>
      <c r="C18" s="1147" t="s">
        <v>862</v>
      </c>
      <c r="D18" s="1841">
        <v>14174575.109999999</v>
      </c>
      <c r="E18" s="1841">
        <v>11176144.969999999</v>
      </c>
      <c r="F18" s="305"/>
      <c r="G18" s="305"/>
      <c r="H18" s="305"/>
      <c r="I18" s="305"/>
      <c r="J18" s="305"/>
      <c r="K18" s="305"/>
      <c r="L18" s="305"/>
      <c r="M18" s="305"/>
      <c r="N18" s="305"/>
    </row>
    <row r="19" spans="1:14">
      <c r="A19" s="305"/>
      <c r="B19" s="305"/>
      <c r="C19" s="305"/>
      <c r="D19" s="305"/>
      <c r="E19" s="305"/>
      <c r="F19" s="305"/>
      <c r="G19" s="305"/>
      <c r="H19" s="305"/>
      <c r="I19" s="305"/>
      <c r="J19" s="305"/>
      <c r="K19" s="305"/>
      <c r="L19" s="305"/>
      <c r="M19" s="305"/>
      <c r="N19" s="305"/>
    </row>
    <row r="20" spans="1:14">
      <c r="A20" s="305"/>
      <c r="B20" s="305"/>
      <c r="C20" s="305"/>
      <c r="D20" s="321"/>
      <c r="E20" s="305"/>
      <c r="F20" s="305"/>
      <c r="G20" s="305"/>
      <c r="H20" s="305"/>
      <c r="I20" s="305"/>
      <c r="J20" s="305"/>
      <c r="K20" s="305"/>
      <c r="L20" s="305"/>
      <c r="M20" s="305"/>
      <c r="N20" s="305"/>
    </row>
    <row r="21" spans="1:14">
      <c r="A21" s="305"/>
      <c r="B21" s="305"/>
      <c r="C21" s="305"/>
      <c r="D21" s="305"/>
      <c r="E21" s="305"/>
      <c r="F21" s="305"/>
      <c r="G21" s="305"/>
      <c r="H21" s="305"/>
      <c r="I21" s="305"/>
      <c r="J21" s="305"/>
      <c r="K21" s="305"/>
      <c r="L21" s="305"/>
      <c r="M21" s="305"/>
      <c r="N21" s="305"/>
    </row>
    <row r="22" spans="1:14">
      <c r="A22" s="305"/>
      <c r="B22" s="305"/>
      <c r="C22" s="305"/>
      <c r="D22" s="305"/>
      <c r="E22" s="305"/>
      <c r="F22" s="305"/>
      <c r="G22" s="305"/>
      <c r="H22" s="305"/>
      <c r="I22" s="305"/>
      <c r="J22" s="305"/>
      <c r="K22" s="305"/>
      <c r="L22" s="305"/>
      <c r="M22" s="305"/>
      <c r="N22" s="305"/>
    </row>
    <row r="23" spans="1:14">
      <c r="A23" s="305"/>
      <c r="B23" s="305"/>
      <c r="C23" s="305"/>
      <c r="D23" s="305"/>
      <c r="E23" s="305"/>
      <c r="F23" s="305"/>
      <c r="G23" s="305"/>
      <c r="H23" s="305"/>
      <c r="I23" s="305"/>
      <c r="J23" s="305"/>
      <c r="K23" s="305"/>
      <c r="L23" s="305"/>
      <c r="M23" s="305"/>
      <c r="N23" s="305"/>
    </row>
    <row r="24" spans="1:14">
      <c r="A24" s="305"/>
      <c r="B24" s="305"/>
      <c r="C24" s="305"/>
      <c r="D24" s="305"/>
      <c r="E24" s="305"/>
      <c r="F24" s="305"/>
      <c r="G24" s="305"/>
      <c r="H24" s="305"/>
      <c r="I24" s="305"/>
      <c r="J24" s="305"/>
      <c r="K24" s="305"/>
      <c r="L24" s="305"/>
      <c r="M24" s="305"/>
      <c r="N24" s="305"/>
    </row>
  </sheetData>
  <pageMargins left="0.7" right="0.7" top="0.75" bottom="0.75" header="0.3" footer="0.3"/>
  <pageSetup scale="80"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P174"/>
  <sheetViews>
    <sheetView topLeftCell="A21" workbookViewId="0">
      <selection activeCell="N22" sqref="N22"/>
    </sheetView>
  </sheetViews>
  <sheetFormatPr defaultRowHeight="15"/>
  <cols>
    <col min="1" max="1" width="2.140625" customWidth="1"/>
    <col min="2" max="2" width="58" bestFit="1" customWidth="1"/>
    <col min="3" max="3" width="2.85546875" customWidth="1"/>
    <col min="4" max="4" width="21.7109375" customWidth="1"/>
    <col min="5" max="5" width="2.7109375" customWidth="1"/>
    <col min="6" max="6" width="21.7109375" customWidth="1"/>
    <col min="7" max="7" width="3" customWidth="1"/>
    <col min="8" max="8" width="21.7109375" customWidth="1"/>
    <col min="9" max="9" width="2.7109375" customWidth="1"/>
    <col min="10" max="10" width="31" customWidth="1"/>
    <col min="11" max="11" width="13.28515625" customWidth="1"/>
    <col min="12" max="12" width="17.140625" customWidth="1"/>
    <col min="13" max="13" width="13.28515625" customWidth="1"/>
    <col min="14" max="16" width="9.140625" customWidth="1"/>
  </cols>
  <sheetData>
    <row r="1" spans="1:16" ht="15.75">
      <c r="A1" s="336" t="s">
        <v>2</v>
      </c>
      <c r="B1" s="441"/>
      <c r="C1" s="308"/>
      <c r="D1" s="308"/>
      <c r="E1" s="308"/>
      <c r="F1" s="308"/>
      <c r="G1" s="308"/>
      <c r="H1" s="308"/>
      <c r="I1" s="308"/>
      <c r="J1" s="332"/>
      <c r="K1" s="332"/>
      <c r="L1" s="332"/>
      <c r="M1" s="332"/>
      <c r="N1" s="332"/>
      <c r="O1" s="332"/>
      <c r="P1" s="332"/>
    </row>
    <row r="2" spans="1:16" ht="15.75">
      <c r="A2" s="336" t="s">
        <v>1203</v>
      </c>
      <c r="B2" s="336"/>
      <c r="C2" s="308"/>
      <c r="D2" s="308"/>
      <c r="E2" s="308"/>
      <c r="F2" s="308"/>
      <c r="G2" s="308"/>
      <c r="H2" s="308"/>
      <c r="I2" s="308"/>
      <c r="J2" s="332"/>
      <c r="K2" s="332"/>
      <c r="L2" s="332"/>
      <c r="M2" s="332"/>
      <c r="N2" s="332"/>
      <c r="O2" s="332"/>
      <c r="P2" s="332"/>
    </row>
    <row r="3" spans="1:16">
      <c r="A3" s="305"/>
      <c r="B3" s="305"/>
      <c r="C3" s="305"/>
      <c r="D3" s="305"/>
      <c r="E3" s="305"/>
      <c r="F3" s="305"/>
      <c r="G3" s="305"/>
      <c r="H3" s="305"/>
      <c r="I3" s="305"/>
      <c r="J3" s="305"/>
      <c r="K3" s="305"/>
      <c r="L3" s="305"/>
      <c r="M3" s="305"/>
      <c r="N3" s="305"/>
      <c r="O3" s="305"/>
      <c r="P3" s="305"/>
    </row>
    <row r="4" spans="1:16" ht="15.75">
      <c r="A4" s="1148" t="s">
        <v>1204</v>
      </c>
      <c r="B4" s="1149"/>
      <c r="C4" s="1149"/>
      <c r="D4" s="1149"/>
      <c r="E4" s="1149"/>
      <c r="F4" s="1149"/>
      <c r="G4" s="1149"/>
      <c r="H4" s="1149"/>
      <c r="I4" s="1150"/>
      <c r="J4" s="1150"/>
      <c r="K4" s="1150"/>
      <c r="L4" s="1150"/>
      <c r="M4" s="1150"/>
      <c r="N4" s="1150"/>
      <c r="O4" s="1150"/>
      <c r="P4" s="1150"/>
    </row>
    <row r="5" spans="1:16">
      <c r="A5" s="1151"/>
      <c r="B5" s="1150"/>
      <c r="C5" s="1150"/>
      <c r="D5" s="1150"/>
      <c r="E5" s="1150"/>
      <c r="F5" s="1150"/>
      <c r="G5" s="1150"/>
      <c r="H5" s="1150"/>
      <c r="I5" s="1150"/>
      <c r="J5" s="1150"/>
      <c r="K5" s="1150"/>
      <c r="L5" s="1150"/>
      <c r="M5" s="1150"/>
      <c r="N5" s="1150"/>
      <c r="O5" s="1150"/>
      <c r="P5" s="1150"/>
    </row>
    <row r="6" spans="1:16" ht="15.75">
      <c r="A6" s="1152"/>
      <c r="B6" s="1150"/>
      <c r="C6" s="1150"/>
      <c r="D6" s="1150"/>
      <c r="E6" s="1150"/>
      <c r="F6" s="1150"/>
      <c r="G6" s="1150"/>
      <c r="H6" s="1153"/>
      <c r="I6" s="1153"/>
      <c r="J6" s="1153"/>
      <c r="K6" s="1153"/>
      <c r="L6" s="1153"/>
      <c r="M6" s="1153"/>
      <c r="N6" s="1150"/>
      <c r="O6" s="1150"/>
      <c r="P6" s="1150"/>
    </row>
    <row r="7" spans="1:16" ht="15.75">
      <c r="A7" s="1154" t="s">
        <v>1205</v>
      </c>
      <c r="B7" s="1155"/>
      <c r="C7" s="1150"/>
      <c r="D7" s="1150"/>
      <c r="E7" s="1150"/>
      <c r="F7" s="1150"/>
      <c r="G7" s="1150"/>
      <c r="H7" s="1150"/>
      <c r="I7" s="1150"/>
      <c r="J7" s="1150"/>
      <c r="K7" s="1150"/>
      <c r="L7" s="1150"/>
      <c r="M7" s="1150"/>
      <c r="N7" s="1150"/>
      <c r="O7" s="1150"/>
      <c r="P7" s="1150"/>
    </row>
    <row r="8" spans="1:16" ht="15.75">
      <c r="A8" s="1150"/>
      <c r="B8" s="1155"/>
      <c r="C8" s="1150"/>
      <c r="D8" s="1150"/>
      <c r="E8" s="1150"/>
      <c r="F8" s="1150"/>
      <c r="G8" s="1150"/>
      <c r="H8" s="1150"/>
      <c r="I8" s="1150"/>
      <c r="J8" s="1150"/>
      <c r="K8" s="1150"/>
      <c r="L8" s="1150"/>
      <c r="M8" s="1150"/>
      <c r="N8" s="1150"/>
      <c r="O8" s="1150"/>
      <c r="P8" s="1150"/>
    </row>
    <row r="9" spans="1:16" ht="58.5">
      <c r="A9" s="1150"/>
      <c r="B9" s="1156" t="s">
        <v>284</v>
      </c>
      <c r="C9" s="1150"/>
      <c r="D9" s="1157" t="s">
        <v>1025</v>
      </c>
      <c r="E9" s="1158"/>
      <c r="F9" s="1157" t="s">
        <v>1206</v>
      </c>
      <c r="G9" s="1150"/>
      <c r="H9" s="1159" t="s">
        <v>1207</v>
      </c>
      <c r="I9" s="1150"/>
      <c r="J9" s="1150"/>
      <c r="K9" s="1150"/>
      <c r="L9" s="1150"/>
      <c r="M9" s="1150"/>
      <c r="N9" s="1150"/>
      <c r="O9" s="1150"/>
      <c r="P9" s="1150"/>
    </row>
    <row r="10" spans="1:16">
      <c r="A10" s="1150"/>
      <c r="B10" s="1160" t="s">
        <v>2306</v>
      </c>
      <c r="C10" s="1150"/>
      <c r="D10" s="1161" t="s">
        <v>1208</v>
      </c>
      <c r="E10" s="1162"/>
      <c r="F10" s="1163">
        <v>0</v>
      </c>
      <c r="G10" s="1162"/>
      <c r="H10" s="1164">
        <v>0</v>
      </c>
      <c r="I10" s="1150"/>
      <c r="J10" s="1165" t="s">
        <v>1209</v>
      </c>
      <c r="K10" s="1150"/>
      <c r="L10" s="1150"/>
      <c r="M10" s="1150"/>
      <c r="N10" s="1150"/>
      <c r="O10" s="1150"/>
      <c r="P10" s="1150"/>
    </row>
    <row r="11" spans="1:16">
      <c r="A11" s="1150"/>
      <c r="B11" s="1160" t="s">
        <v>2307</v>
      </c>
      <c r="C11" s="1150"/>
      <c r="D11" s="1161">
        <v>4752788</v>
      </c>
      <c r="E11" s="1162"/>
      <c r="F11" s="1163" t="s">
        <v>2308</v>
      </c>
      <c r="G11" s="1162"/>
      <c r="H11" s="1164">
        <v>1</v>
      </c>
      <c r="I11" s="1150"/>
      <c r="J11" s="1165"/>
      <c r="K11" s="1150"/>
      <c r="L11" s="1150"/>
      <c r="M11" s="1150"/>
      <c r="N11" s="1150"/>
      <c r="O11" s="1150"/>
      <c r="P11" s="1150"/>
    </row>
    <row r="12" spans="1:16">
      <c r="A12" s="1150"/>
      <c r="B12" s="1160" t="s">
        <v>2309</v>
      </c>
      <c r="C12" s="1150"/>
      <c r="D12" s="1161">
        <v>253584</v>
      </c>
      <c r="E12" s="1162"/>
      <c r="F12" s="1163" t="s">
        <v>2308</v>
      </c>
      <c r="G12" s="1162"/>
      <c r="H12" s="1164">
        <v>1</v>
      </c>
      <c r="I12" s="1150"/>
      <c r="J12" s="1165"/>
      <c r="K12" s="1150"/>
      <c r="L12" s="1150"/>
      <c r="M12" s="1150"/>
      <c r="N12" s="1150"/>
      <c r="O12" s="1150"/>
      <c r="P12" s="1150"/>
    </row>
    <row r="13" spans="1:16">
      <c r="A13" s="1150"/>
      <c r="B13" s="1160" t="s">
        <v>2310</v>
      </c>
      <c r="C13" s="1150"/>
      <c r="D13" s="1161">
        <v>0</v>
      </c>
      <c r="E13" s="1166"/>
      <c r="F13" s="1163" t="s">
        <v>2308</v>
      </c>
      <c r="G13" s="1162"/>
      <c r="H13" s="1164">
        <v>1</v>
      </c>
      <c r="I13" s="1150"/>
      <c r="J13" s="1165"/>
      <c r="K13" s="1150"/>
      <c r="L13" s="1150"/>
      <c r="M13" s="1150"/>
      <c r="N13" s="1150"/>
      <c r="O13" s="1150"/>
      <c r="P13" s="1150"/>
    </row>
    <row r="14" spans="1:16">
      <c r="A14" s="1150"/>
      <c r="B14" s="1160" t="s">
        <v>2311</v>
      </c>
      <c r="C14" s="1150"/>
      <c r="D14" s="1161">
        <v>230193</v>
      </c>
      <c r="E14" s="1166"/>
      <c r="F14" s="1163" t="s">
        <v>2308</v>
      </c>
      <c r="G14" s="1162"/>
      <c r="H14" s="1164">
        <v>1</v>
      </c>
      <c r="I14" s="1150"/>
      <c r="J14" s="1165"/>
      <c r="K14" s="1150"/>
      <c r="L14" s="1150"/>
      <c r="M14" s="1150"/>
      <c r="N14" s="1150"/>
      <c r="O14" s="1150"/>
      <c r="P14" s="1150"/>
    </row>
    <row r="15" spans="1:16">
      <c r="A15" s="1150"/>
      <c r="B15" s="1160" t="s">
        <v>2312</v>
      </c>
      <c r="C15" s="1150"/>
      <c r="D15" s="1161">
        <v>0</v>
      </c>
      <c r="E15" s="1166"/>
      <c r="F15" s="1163">
        <f>'Att 9b - 2024 True-up'!AE23</f>
        <v>152.78991666666667</v>
      </c>
      <c r="G15" s="1167"/>
      <c r="H15" s="1164">
        <v>0</v>
      </c>
      <c r="I15" s="1150"/>
      <c r="J15" s="1165" t="s">
        <v>1210</v>
      </c>
      <c r="K15" s="1150"/>
      <c r="L15" s="1150"/>
      <c r="M15" s="1150"/>
      <c r="N15" s="1150"/>
      <c r="O15" s="1150"/>
      <c r="P15" s="1150"/>
    </row>
    <row r="16" spans="1:16">
      <c r="A16" s="1150"/>
      <c r="B16" s="1160" t="s">
        <v>2313</v>
      </c>
      <c r="C16" s="1150"/>
      <c r="D16" s="1161">
        <v>0</v>
      </c>
      <c r="E16" s="1166"/>
      <c r="F16" s="1163" t="s">
        <v>2308</v>
      </c>
      <c r="G16" s="1167"/>
      <c r="H16" s="1164">
        <v>1</v>
      </c>
      <c r="I16" s="1150"/>
      <c r="K16" s="1150"/>
      <c r="L16" s="1150"/>
      <c r="M16" s="1150"/>
      <c r="N16" s="1150"/>
      <c r="O16" s="1150"/>
      <c r="P16" s="1150"/>
    </row>
    <row r="17" spans="1:16">
      <c r="A17" s="1150"/>
      <c r="B17" s="1160" t="s">
        <v>2314</v>
      </c>
      <c r="C17" s="1150"/>
      <c r="D17" s="1161">
        <v>151308</v>
      </c>
      <c r="E17" s="1166"/>
      <c r="F17" s="1163" t="s">
        <v>2308</v>
      </c>
      <c r="G17" s="1167"/>
      <c r="H17" s="1164">
        <v>1</v>
      </c>
      <c r="I17" s="1150"/>
      <c r="K17" s="1150"/>
      <c r="L17" s="1150"/>
      <c r="M17" s="1150"/>
      <c r="N17" s="1150"/>
      <c r="O17" s="1150"/>
      <c r="P17" s="1150"/>
    </row>
    <row r="18" spans="1:16">
      <c r="A18" s="1150"/>
      <c r="B18" s="1160" t="s">
        <v>2315</v>
      </c>
      <c r="C18" s="1150"/>
      <c r="D18" s="1161">
        <v>0</v>
      </c>
      <c r="E18" s="1166"/>
      <c r="F18" s="1163" t="s">
        <v>2308</v>
      </c>
      <c r="G18" s="1162"/>
      <c r="H18" s="1164">
        <v>1</v>
      </c>
      <c r="I18" s="1150"/>
      <c r="J18" s="1165"/>
      <c r="K18" s="1150"/>
      <c r="L18" s="1150"/>
      <c r="M18" s="1150"/>
      <c r="N18" s="1150"/>
      <c r="O18" s="1150"/>
      <c r="P18" s="1150"/>
    </row>
    <row r="19" spans="1:16">
      <c r="A19" s="1150"/>
      <c r="B19" s="1160" t="s">
        <v>2316</v>
      </c>
      <c r="C19" s="1150"/>
      <c r="D19" s="1161">
        <v>0</v>
      </c>
      <c r="E19" s="1166"/>
      <c r="F19" s="1163" t="s">
        <v>2308</v>
      </c>
      <c r="G19" s="1162"/>
      <c r="H19" s="1164">
        <v>1</v>
      </c>
      <c r="I19" s="1150"/>
      <c r="J19" s="1165"/>
      <c r="K19" s="1150"/>
      <c r="L19" s="1150"/>
      <c r="M19" s="1150"/>
      <c r="N19" s="1150"/>
      <c r="O19" s="1150"/>
      <c r="P19" s="1150"/>
    </row>
    <row r="20" spans="1:16">
      <c r="A20" s="1150"/>
      <c r="B20" s="1160" t="s">
        <v>2317</v>
      </c>
      <c r="C20" s="1150"/>
      <c r="D20" s="1161">
        <v>20424</v>
      </c>
      <c r="E20" s="1166"/>
      <c r="F20" s="1163" t="s">
        <v>2308</v>
      </c>
      <c r="G20" s="1162"/>
      <c r="H20" s="1164">
        <v>1</v>
      </c>
      <c r="I20" s="1150"/>
      <c r="J20" s="1165"/>
      <c r="K20" s="1150"/>
      <c r="L20" s="1150"/>
      <c r="M20" s="1150"/>
      <c r="N20" s="1150"/>
      <c r="O20" s="1150"/>
      <c r="P20" s="1150"/>
    </row>
    <row r="21" spans="1:16">
      <c r="A21" s="1150"/>
      <c r="B21" s="1160" t="s">
        <v>2318</v>
      </c>
      <c r="C21" s="1150"/>
      <c r="D21" s="1161">
        <v>0</v>
      </c>
      <c r="E21" s="1166"/>
      <c r="F21" s="1163" t="s">
        <v>2308</v>
      </c>
      <c r="G21" s="1162"/>
      <c r="H21" s="1164">
        <v>1</v>
      </c>
      <c r="I21" s="1150"/>
      <c r="J21" s="1165"/>
      <c r="K21" s="1150"/>
      <c r="L21" s="1150"/>
      <c r="M21" s="1150"/>
      <c r="N21" s="1150"/>
      <c r="O21" s="1150"/>
      <c r="P21" s="1150"/>
    </row>
    <row r="22" spans="1:16">
      <c r="A22" s="1150"/>
      <c r="B22" s="1160" t="s">
        <v>2319</v>
      </c>
      <c r="C22" s="1150"/>
      <c r="D22" s="1161">
        <v>0</v>
      </c>
      <c r="E22" s="1166"/>
      <c r="F22" s="1163" t="s">
        <v>2308</v>
      </c>
      <c r="G22" s="1162"/>
      <c r="H22" s="1164">
        <v>1</v>
      </c>
      <c r="I22" s="1150"/>
      <c r="J22" s="1165"/>
      <c r="K22" s="1150"/>
      <c r="L22" s="1150"/>
      <c r="M22" s="1150"/>
      <c r="N22" s="1150"/>
      <c r="O22" s="1150"/>
      <c r="P22" s="1150"/>
    </row>
    <row r="23" spans="1:16">
      <c r="A23" s="1150"/>
      <c r="B23" s="1160" t="s">
        <v>2320</v>
      </c>
      <c r="C23" s="1150"/>
      <c r="D23" s="1161">
        <v>0</v>
      </c>
      <c r="E23" s="1166"/>
      <c r="F23" s="1163" t="s">
        <v>2308</v>
      </c>
      <c r="G23" s="1162"/>
      <c r="H23" s="1164">
        <v>1</v>
      </c>
      <c r="I23" s="1150"/>
      <c r="J23" s="1165"/>
      <c r="K23" s="1150"/>
      <c r="L23" s="1150"/>
      <c r="M23" s="1150"/>
      <c r="N23" s="1150"/>
      <c r="O23" s="1150"/>
      <c r="P23" s="1150"/>
    </row>
    <row r="24" spans="1:16">
      <c r="A24" s="1150"/>
      <c r="B24" s="1160" t="s">
        <v>2321</v>
      </c>
      <c r="C24" s="1150"/>
      <c r="D24" s="1161">
        <v>0</v>
      </c>
      <c r="E24" s="1166"/>
      <c r="F24" s="1163" t="s">
        <v>2308</v>
      </c>
      <c r="G24" s="1162"/>
      <c r="H24" s="1164">
        <v>1</v>
      </c>
      <c r="I24" s="1150"/>
      <c r="J24" s="1165"/>
      <c r="K24" s="1150"/>
      <c r="L24" s="1150"/>
      <c r="M24" s="1150"/>
      <c r="N24" s="1150"/>
      <c r="O24" s="1150"/>
      <c r="P24" s="1150"/>
    </row>
    <row r="25" spans="1:16">
      <c r="A25" s="1150"/>
      <c r="B25" s="1160" t="s">
        <v>2322</v>
      </c>
      <c r="C25" s="1150"/>
      <c r="D25" s="1161">
        <v>36159.120000000003</v>
      </c>
      <c r="E25" s="1166"/>
      <c r="F25" s="1163" t="s">
        <v>2308</v>
      </c>
      <c r="G25" s="1162"/>
      <c r="H25" s="1164">
        <v>1</v>
      </c>
      <c r="I25" s="1150"/>
      <c r="J25" s="1165"/>
      <c r="K25" s="1150"/>
      <c r="L25" s="1150"/>
      <c r="M25" s="1150"/>
      <c r="N25" s="1150"/>
      <c r="O25" s="1150"/>
      <c r="P25" s="1150"/>
    </row>
    <row r="26" spans="1:16">
      <c r="A26" s="1150"/>
      <c r="B26" s="1160" t="s">
        <v>2323</v>
      </c>
      <c r="C26" s="1150"/>
      <c r="D26" s="1161">
        <v>0</v>
      </c>
      <c r="E26" s="1166"/>
      <c r="F26" s="1163" t="s">
        <v>2308</v>
      </c>
      <c r="G26" s="1167"/>
      <c r="H26" s="1164">
        <v>1</v>
      </c>
      <c r="I26" s="1150"/>
      <c r="J26" s="1165"/>
      <c r="K26" s="1150"/>
      <c r="L26" s="1150"/>
      <c r="M26" s="1150"/>
      <c r="N26" s="1150"/>
      <c r="O26" s="1150"/>
      <c r="P26" s="1150"/>
    </row>
    <row r="27" spans="1:16">
      <c r="A27" s="1150"/>
      <c r="B27" s="1160" t="s">
        <v>2324</v>
      </c>
      <c r="C27" s="1150"/>
      <c r="D27" s="1161">
        <v>0</v>
      </c>
      <c r="E27" s="1166"/>
      <c r="F27" s="1163" t="s">
        <v>2308</v>
      </c>
      <c r="G27" s="1162"/>
      <c r="H27" s="1164">
        <v>1</v>
      </c>
      <c r="I27" s="1150"/>
      <c r="J27" s="1165"/>
      <c r="K27" s="1150"/>
      <c r="L27" s="1150"/>
      <c r="M27" s="1150"/>
      <c r="N27" s="1150"/>
      <c r="O27" s="1150"/>
      <c r="P27" s="1150"/>
    </row>
    <row r="28" spans="1:16">
      <c r="A28" s="1150"/>
      <c r="B28" s="1160" t="s">
        <v>2325</v>
      </c>
      <c r="C28" s="1150"/>
      <c r="D28" s="1161">
        <v>11472.75</v>
      </c>
      <c r="E28" s="1166"/>
      <c r="F28" s="1163" t="s">
        <v>2308</v>
      </c>
      <c r="G28" s="1162"/>
      <c r="H28" s="1164">
        <v>1</v>
      </c>
      <c r="I28" s="1150"/>
      <c r="J28" s="1165"/>
      <c r="K28" s="1150"/>
      <c r="L28" s="1150"/>
      <c r="M28" s="1150"/>
      <c r="N28" s="1150"/>
      <c r="O28" s="1150"/>
      <c r="P28" s="1150"/>
    </row>
    <row r="29" spans="1:16">
      <c r="A29" s="1150"/>
      <c r="B29" s="1160" t="s">
        <v>2326</v>
      </c>
      <c r="C29" s="1150"/>
      <c r="D29" s="1161">
        <v>28114.22</v>
      </c>
      <c r="E29" s="1166"/>
      <c r="F29" s="1163" t="s">
        <v>2308</v>
      </c>
      <c r="G29" s="1162"/>
      <c r="H29" s="1164">
        <v>1</v>
      </c>
      <c r="I29" s="1150"/>
      <c r="J29" s="1165"/>
      <c r="K29" s="1150"/>
      <c r="L29" s="1150"/>
      <c r="M29" s="1150"/>
      <c r="N29" s="1150"/>
      <c r="O29" s="1150"/>
      <c r="P29" s="1150"/>
    </row>
    <row r="30" spans="1:16">
      <c r="A30" s="1150"/>
      <c r="B30" s="1160" t="s">
        <v>2327</v>
      </c>
      <c r="C30" s="1150"/>
      <c r="D30" s="1161">
        <v>0</v>
      </c>
      <c r="E30" s="1166"/>
      <c r="F30" s="1163">
        <f>'Att 9b - 2024 True-up'!AC23</f>
        <v>615.88358333333338</v>
      </c>
      <c r="G30" s="1167"/>
      <c r="H30" s="1164">
        <v>0</v>
      </c>
      <c r="I30" s="1150"/>
      <c r="J30" s="1165" t="s">
        <v>1210</v>
      </c>
      <c r="K30" s="1150"/>
      <c r="L30" s="1150"/>
      <c r="M30" s="1150"/>
      <c r="N30" s="1150"/>
      <c r="O30" s="1150"/>
      <c r="P30" s="1150"/>
    </row>
    <row r="31" spans="1:16">
      <c r="A31" s="1150"/>
      <c r="B31" s="1160" t="s">
        <v>2328</v>
      </c>
      <c r="C31" s="1150"/>
      <c r="D31" s="1161">
        <v>0</v>
      </c>
      <c r="E31" s="1166"/>
      <c r="F31" s="1163">
        <f>'Att 9b - 2024 True-up'!AD23</f>
        <v>93.220500000000001</v>
      </c>
      <c r="G31" s="1162"/>
      <c r="H31" s="1164">
        <v>0</v>
      </c>
      <c r="I31" s="1150"/>
      <c r="J31" s="1165" t="s">
        <v>1210</v>
      </c>
      <c r="K31" s="1150"/>
      <c r="L31" s="1150"/>
      <c r="M31" s="1150"/>
      <c r="N31" s="1150"/>
      <c r="O31" s="1150"/>
      <c r="P31" s="1150"/>
    </row>
    <row r="32" spans="1:16">
      <c r="A32" s="1150"/>
      <c r="B32" s="1160" t="s">
        <v>2329</v>
      </c>
      <c r="C32" s="1150"/>
      <c r="D32" s="1161">
        <v>119700</v>
      </c>
      <c r="E32" s="1166"/>
      <c r="F32" s="1163" t="s">
        <v>2308</v>
      </c>
      <c r="G32" s="1162"/>
      <c r="H32" s="1164">
        <v>1</v>
      </c>
      <c r="I32" s="1150"/>
      <c r="K32" s="1150"/>
      <c r="L32" s="1150"/>
      <c r="M32" s="1150"/>
      <c r="N32" s="1150"/>
      <c r="O32" s="1150"/>
      <c r="P32" s="1150"/>
    </row>
    <row r="33" spans="1:16">
      <c r="A33" s="1150"/>
      <c r="B33" s="1160" t="s">
        <v>2330</v>
      </c>
      <c r="C33" s="1150"/>
      <c r="D33" s="1161">
        <v>0</v>
      </c>
      <c r="E33" s="1166"/>
      <c r="F33" s="1163">
        <v>330</v>
      </c>
      <c r="G33" s="1162"/>
      <c r="H33" s="1164">
        <v>0</v>
      </c>
      <c r="I33" s="1150"/>
      <c r="J33" s="1165" t="s">
        <v>2204</v>
      </c>
      <c r="K33" s="1150"/>
      <c r="L33" s="1150"/>
      <c r="M33" s="1150"/>
      <c r="N33" s="1150"/>
      <c r="O33" s="1150"/>
      <c r="P33" s="1150"/>
    </row>
    <row r="34" spans="1:16">
      <c r="A34" s="1150"/>
      <c r="B34" s="1160" t="s">
        <v>2331</v>
      </c>
      <c r="C34" s="1150"/>
      <c r="D34" s="1161">
        <v>600000</v>
      </c>
      <c r="E34" s="1166"/>
      <c r="F34" s="1163" t="s">
        <v>2308</v>
      </c>
      <c r="G34" s="1162"/>
      <c r="H34" s="1164">
        <v>1</v>
      </c>
      <c r="I34" s="1150"/>
      <c r="K34" s="1150"/>
      <c r="L34" s="1150"/>
      <c r="M34" s="1150"/>
      <c r="N34" s="1150"/>
      <c r="O34" s="1150"/>
      <c r="P34" s="1150"/>
    </row>
    <row r="35" spans="1:16">
      <c r="A35" s="1150"/>
      <c r="B35" s="1160" t="s">
        <v>2332</v>
      </c>
      <c r="C35" s="1150"/>
      <c r="D35" s="1161">
        <v>35235.060000000005</v>
      </c>
      <c r="E35" s="1166"/>
      <c r="F35" s="1163" t="s">
        <v>2308</v>
      </c>
      <c r="G35" s="1162"/>
      <c r="H35" s="1164">
        <v>1</v>
      </c>
      <c r="I35" s="1150"/>
      <c r="K35" s="1150"/>
      <c r="L35" s="1150"/>
      <c r="M35" s="1150"/>
      <c r="N35" s="1150"/>
      <c r="O35" s="1150"/>
      <c r="P35" s="1150"/>
    </row>
    <row r="36" spans="1:16">
      <c r="A36" s="1150"/>
      <c r="B36" s="1160"/>
      <c r="C36" s="1150"/>
      <c r="D36" s="1161"/>
      <c r="E36" s="1166"/>
      <c r="F36" s="1163"/>
      <c r="G36" s="1162"/>
      <c r="H36" s="1164"/>
      <c r="I36" s="1150"/>
      <c r="K36" s="1150"/>
      <c r="L36" s="1150"/>
      <c r="M36" s="1150"/>
      <c r="N36" s="1150"/>
      <c r="O36" s="1150"/>
      <c r="P36" s="1150"/>
    </row>
    <row r="37" spans="1:16">
      <c r="A37" s="1150"/>
      <c r="B37" s="1160" t="s">
        <v>2333</v>
      </c>
      <c r="C37" s="1150"/>
      <c r="D37" s="1161">
        <v>0</v>
      </c>
      <c r="E37" s="1166"/>
      <c r="F37" s="1163" t="s">
        <v>2308</v>
      </c>
      <c r="G37" s="1162"/>
      <c r="H37" s="1164">
        <v>1</v>
      </c>
      <c r="I37" s="1150"/>
      <c r="K37" s="1150"/>
      <c r="L37" s="1150"/>
      <c r="M37" s="1150"/>
      <c r="N37" s="1150"/>
      <c r="O37" s="1150"/>
      <c r="P37" s="1150"/>
    </row>
    <row r="38" spans="1:16">
      <c r="A38" s="1150"/>
      <c r="B38" s="1160" t="s">
        <v>2334</v>
      </c>
      <c r="C38" s="1150"/>
      <c r="D38" s="1161">
        <v>0</v>
      </c>
      <c r="E38" s="1166"/>
      <c r="F38" s="1163" t="s">
        <v>2308</v>
      </c>
      <c r="G38" s="1162"/>
      <c r="H38" s="1164">
        <v>1</v>
      </c>
      <c r="I38" s="1150"/>
      <c r="J38" s="1165"/>
      <c r="K38" s="1150"/>
      <c r="L38" s="1150"/>
      <c r="M38" s="1150"/>
      <c r="N38" s="1150"/>
      <c r="O38" s="1150"/>
      <c r="P38" s="1150"/>
    </row>
    <row r="39" spans="1:16">
      <c r="A39" s="1150"/>
      <c r="B39" s="1160" t="s">
        <v>2335</v>
      </c>
      <c r="C39" s="1150"/>
      <c r="D39" s="1161">
        <v>101551.77500000001</v>
      </c>
      <c r="E39" s="1166"/>
      <c r="F39" s="1163" t="s">
        <v>2308</v>
      </c>
      <c r="G39" s="1162"/>
      <c r="H39" s="1164">
        <v>1</v>
      </c>
      <c r="I39" s="1150"/>
      <c r="J39" s="1165" t="s">
        <v>2090</v>
      </c>
      <c r="K39" s="1150"/>
      <c r="L39" s="1150"/>
      <c r="M39" s="1150"/>
      <c r="N39" s="1150"/>
      <c r="O39" s="1150"/>
      <c r="P39" s="1150"/>
    </row>
    <row r="40" spans="1:16">
      <c r="A40" s="1150"/>
      <c r="B40" s="1168" t="s">
        <v>1211</v>
      </c>
      <c r="C40" s="1150"/>
      <c r="D40" s="1169">
        <f>SUM(D10:D39)</f>
        <v>6340529.9249999998</v>
      </c>
      <c r="E40" s="1150"/>
      <c r="F40" s="1170">
        <f>SUM(F10:F39)</f>
        <v>1191.8940000000002</v>
      </c>
      <c r="G40" s="1150"/>
      <c r="H40" s="1150"/>
      <c r="I40" s="1150"/>
      <c r="J40" s="1165" t="s">
        <v>1212</v>
      </c>
      <c r="K40" s="1150"/>
      <c r="L40" s="1150"/>
      <c r="M40" s="1150"/>
      <c r="N40" s="1150"/>
      <c r="O40" s="1150"/>
      <c r="P40" s="1150"/>
    </row>
    <row r="41" spans="1:16">
      <c r="A41" s="1150"/>
      <c r="B41" s="1150"/>
      <c r="C41" s="1150"/>
      <c r="D41" s="305"/>
      <c r="E41" s="305"/>
      <c r="F41" s="305"/>
      <c r="G41" s="305"/>
      <c r="H41" s="305"/>
      <c r="I41" s="305"/>
      <c r="J41" s="305"/>
      <c r="K41" s="305"/>
      <c r="L41" s="305"/>
      <c r="M41" s="1150"/>
      <c r="N41" s="1150"/>
      <c r="O41" s="1150"/>
      <c r="P41" s="1150"/>
    </row>
    <row r="42" spans="1:16">
      <c r="A42" s="1150"/>
      <c r="B42" s="1150"/>
      <c r="C42" s="1150"/>
      <c r="D42" s="1150"/>
      <c r="E42" s="1150"/>
      <c r="F42" s="1150"/>
      <c r="G42" s="1150"/>
      <c r="H42" s="1150"/>
      <c r="I42" s="1150"/>
      <c r="J42" s="1150"/>
      <c r="K42" s="1150"/>
      <c r="L42" s="1150"/>
      <c r="M42" s="1150"/>
      <c r="N42" s="1150"/>
      <c r="O42" s="1150"/>
      <c r="P42" s="1150"/>
    </row>
    <row r="43" spans="1:16" ht="15.75">
      <c r="A43" s="1154" t="s">
        <v>1213</v>
      </c>
      <c r="B43" s="1155"/>
      <c r="C43" s="1150"/>
      <c r="D43" s="1150"/>
      <c r="E43" s="1150"/>
      <c r="F43" s="1150"/>
      <c r="G43" s="1150"/>
      <c r="H43" s="1150"/>
      <c r="I43" s="1150"/>
      <c r="J43" s="1150"/>
      <c r="K43" s="1150"/>
      <c r="L43" s="1150"/>
      <c r="M43" s="1150"/>
      <c r="N43" s="1150"/>
      <c r="O43" s="1150"/>
      <c r="P43" s="1150"/>
    </row>
    <row r="44" spans="1:16">
      <c r="A44" s="1150"/>
      <c r="B44" s="1150"/>
      <c r="C44" s="1150"/>
      <c r="D44" s="1150"/>
      <c r="E44" s="1150"/>
      <c r="F44" s="1150"/>
      <c r="G44" s="1150"/>
      <c r="H44" s="1150"/>
      <c r="I44" s="1150"/>
      <c r="J44" s="1150"/>
      <c r="K44" s="1171"/>
      <c r="L44" s="1171"/>
      <c r="M44" s="1150"/>
      <c r="N44" s="1150"/>
      <c r="O44" s="1150"/>
      <c r="P44" s="1150"/>
    </row>
    <row r="45" spans="1:16">
      <c r="A45" s="1150"/>
      <c r="B45" s="1153" t="s">
        <v>1214</v>
      </c>
      <c r="C45" s="1150"/>
      <c r="D45" s="1150"/>
      <c r="E45" s="1150"/>
      <c r="F45" s="1150"/>
      <c r="G45" s="1150"/>
      <c r="H45" s="1150"/>
      <c r="I45" s="1150"/>
      <c r="J45" s="1150"/>
      <c r="K45" s="1171"/>
      <c r="L45" s="1171"/>
      <c r="M45" s="1150"/>
      <c r="N45" s="1150"/>
      <c r="O45" s="1150"/>
      <c r="P45" s="1150"/>
    </row>
    <row r="46" spans="1:16">
      <c r="A46" s="1150"/>
      <c r="B46" s="1172" t="s">
        <v>1215</v>
      </c>
      <c r="C46" s="1150"/>
      <c r="D46" s="1173">
        <v>105001660.67</v>
      </c>
      <c r="E46" s="1150"/>
      <c r="F46" s="1153"/>
      <c r="G46" s="1153"/>
      <c r="H46" s="1150"/>
      <c r="I46" s="1150"/>
      <c r="J46" s="1150"/>
      <c r="K46" s="1171"/>
      <c r="L46" s="1171"/>
      <c r="M46" s="1150"/>
      <c r="N46" s="1150"/>
      <c r="O46" s="1150"/>
      <c r="P46" s="1150"/>
    </row>
    <row r="47" spans="1:16">
      <c r="A47" s="1150"/>
      <c r="B47" s="1172" t="s">
        <v>1216</v>
      </c>
      <c r="C47" s="1150"/>
      <c r="D47" s="1173">
        <v>20868570.77</v>
      </c>
      <c r="E47" s="1150"/>
      <c r="F47" s="1150"/>
      <c r="G47" s="1150"/>
      <c r="H47" s="1150"/>
      <c r="I47" s="1150"/>
      <c r="J47" s="1150"/>
      <c r="K47" s="1171"/>
      <c r="L47" s="1171"/>
      <c r="M47" s="1150"/>
      <c r="N47" s="1150"/>
      <c r="O47" s="1150"/>
      <c r="P47" s="1150"/>
    </row>
    <row r="48" spans="1:16">
      <c r="A48" s="1150"/>
      <c r="B48" s="1174" t="s">
        <v>1217</v>
      </c>
      <c r="C48" s="1150"/>
      <c r="D48" s="1513">
        <f>+D46+D47</f>
        <v>125870231.44</v>
      </c>
      <c r="E48" s="1150"/>
      <c r="F48" s="1150"/>
      <c r="G48" s="1150"/>
      <c r="H48" s="1150"/>
      <c r="I48" s="1150"/>
      <c r="J48" s="1150"/>
      <c r="K48" s="1171"/>
      <c r="L48" s="1171"/>
      <c r="M48" s="1150"/>
      <c r="N48" s="1150"/>
      <c r="O48" s="1150"/>
      <c r="P48" s="1150"/>
    </row>
    <row r="49" spans="1:16">
      <c r="A49" s="1150"/>
      <c r="B49" s="1150"/>
      <c r="C49" s="1150"/>
      <c r="D49" s="1175"/>
      <c r="E49" s="1150"/>
      <c r="F49" s="1150"/>
      <c r="G49" s="1150"/>
      <c r="H49" s="1150"/>
      <c r="I49" s="1150"/>
      <c r="J49" s="1150"/>
      <c r="K49" s="1171"/>
      <c r="L49" s="1171"/>
      <c r="M49" s="1150"/>
      <c r="N49" s="1150"/>
      <c r="O49" s="1150"/>
      <c r="P49" s="1150"/>
    </row>
    <row r="50" spans="1:16">
      <c r="A50" s="1150"/>
      <c r="B50" s="1153" t="s">
        <v>1218</v>
      </c>
      <c r="C50" s="1150"/>
      <c r="D50" s="1150"/>
      <c r="E50" s="1150"/>
      <c r="F50" s="1150"/>
      <c r="G50" s="1150"/>
      <c r="H50" s="1150"/>
      <c r="I50" s="1150"/>
      <c r="J50" s="1150"/>
      <c r="K50" s="1171"/>
      <c r="L50" s="1171"/>
      <c r="M50" s="1150"/>
      <c r="N50" s="1150"/>
      <c r="O50" s="1150"/>
      <c r="P50" s="1150"/>
    </row>
    <row r="51" spans="1:16">
      <c r="A51" s="1150"/>
      <c r="B51" s="1172" t="s">
        <v>1215</v>
      </c>
      <c r="C51" s="1150"/>
      <c r="D51" s="1173">
        <v>25667091.859999999</v>
      </c>
      <c r="E51" s="1150"/>
      <c r="F51" s="1153"/>
      <c r="G51" s="1153"/>
      <c r="H51" s="1150"/>
      <c r="I51" s="1150"/>
      <c r="J51" s="1150"/>
      <c r="K51" s="1171"/>
      <c r="L51" s="1171"/>
      <c r="M51" s="1150"/>
      <c r="N51" s="1150"/>
      <c r="O51" s="1150"/>
      <c r="P51" s="1150"/>
    </row>
    <row r="52" spans="1:16">
      <c r="A52" s="1150"/>
      <c r="B52" s="1172" t="s">
        <v>1216</v>
      </c>
      <c r="C52" s="1150"/>
      <c r="D52" s="1173">
        <v>32118321.710000001</v>
      </c>
      <c r="E52" s="1150"/>
      <c r="F52" s="1150"/>
      <c r="G52" s="1150"/>
      <c r="H52" s="1150"/>
      <c r="I52" s="1150"/>
      <c r="J52" s="1150"/>
      <c r="K52" s="1171"/>
      <c r="L52" s="1171"/>
      <c r="M52" s="1150"/>
      <c r="N52" s="1150"/>
      <c r="O52" s="1150"/>
      <c r="P52" s="1150"/>
    </row>
    <row r="53" spans="1:16">
      <c r="A53" s="1150"/>
      <c r="B53" s="1174" t="s">
        <v>1219</v>
      </c>
      <c r="C53" s="1150"/>
      <c r="D53" s="1513">
        <f>+D52+D51</f>
        <v>57785413.57</v>
      </c>
      <c r="E53" s="1150"/>
      <c r="F53" s="1150"/>
      <c r="G53" s="1150"/>
      <c r="H53" s="1150"/>
      <c r="I53" s="1150"/>
      <c r="J53" s="1150"/>
      <c r="K53" s="1171"/>
      <c r="L53" s="1171"/>
      <c r="M53" s="1150"/>
      <c r="N53" s="1150"/>
      <c r="O53" s="1150"/>
      <c r="P53" s="1150"/>
    </row>
    <row r="54" spans="1:16">
      <c r="A54" s="1150"/>
      <c r="B54" s="1150"/>
      <c r="C54" s="1150"/>
      <c r="D54" s="1150"/>
      <c r="E54" s="1150"/>
      <c r="F54" s="1150"/>
      <c r="G54" s="1150"/>
      <c r="H54" s="1150"/>
      <c r="I54" s="1150"/>
      <c r="J54" s="1150"/>
      <c r="K54" s="1171"/>
      <c r="L54" s="1171"/>
      <c r="M54" s="1150"/>
      <c r="N54" s="1150"/>
      <c r="O54" s="1150"/>
      <c r="P54" s="1150"/>
    </row>
    <row r="55" spans="1:16">
      <c r="A55" s="1150"/>
      <c r="B55" s="1150"/>
      <c r="C55" s="1150"/>
      <c r="D55" s="1150"/>
      <c r="E55" s="1150"/>
      <c r="F55" s="1150"/>
      <c r="G55" s="1150"/>
      <c r="H55" s="1150"/>
      <c r="I55" s="1150"/>
      <c r="J55" s="1150"/>
      <c r="K55" s="1171"/>
      <c r="L55" s="1171"/>
      <c r="M55" s="1150"/>
      <c r="N55" s="1150"/>
      <c r="O55" s="1150"/>
      <c r="P55" s="1150"/>
    </row>
    <row r="56" spans="1:16" ht="15.75">
      <c r="A56" s="1154" t="s">
        <v>1220</v>
      </c>
      <c r="B56" s="1153"/>
      <c r="C56" s="1150"/>
      <c r="D56" s="1150"/>
      <c r="E56" s="1150"/>
      <c r="F56" s="1150"/>
      <c r="G56" s="1150"/>
      <c r="H56" s="1150"/>
      <c r="I56" s="1150"/>
      <c r="J56" s="1150"/>
      <c r="K56" s="1171"/>
      <c r="L56" s="1171"/>
      <c r="M56" s="1150"/>
      <c r="N56" s="1150"/>
      <c r="O56" s="1150"/>
      <c r="P56" s="1150"/>
    </row>
    <row r="57" spans="1:16">
      <c r="A57" s="1150"/>
      <c r="B57" s="1172" t="s">
        <v>1215</v>
      </c>
      <c r="C57" s="1150"/>
      <c r="D57" s="1162">
        <f>SUM(D46,D51)</f>
        <v>130668752.53</v>
      </c>
      <c r="E57" s="1150"/>
      <c r="F57" s="1150"/>
      <c r="G57" s="1150"/>
      <c r="H57" s="1150"/>
      <c r="I57" s="1150"/>
      <c r="J57" s="1150"/>
      <c r="K57" s="1171"/>
      <c r="L57" s="1171"/>
      <c r="M57" s="1150"/>
      <c r="N57" s="1150"/>
      <c r="O57" s="1150"/>
      <c r="P57" s="1150"/>
    </row>
    <row r="58" spans="1:16">
      <c r="A58" s="1150"/>
      <c r="B58" s="1172" t="s">
        <v>1216</v>
      </c>
      <c r="C58" s="1150"/>
      <c r="D58" s="1162">
        <f>SUM(D47,D52)</f>
        <v>52986892.480000004</v>
      </c>
      <c r="E58" s="1150"/>
      <c r="F58" s="305"/>
      <c r="G58" s="1153"/>
      <c r="H58" s="1150"/>
      <c r="I58" s="1150"/>
      <c r="J58" s="1150"/>
      <c r="K58" s="1171"/>
      <c r="L58" s="1171"/>
      <c r="M58" s="1150"/>
      <c r="N58" s="1150"/>
      <c r="O58" s="1150"/>
      <c r="P58" s="1150"/>
    </row>
    <row r="59" spans="1:16">
      <c r="A59" s="1150"/>
      <c r="B59" s="1176" t="s">
        <v>1221</v>
      </c>
      <c r="C59" s="1150"/>
      <c r="D59" s="1177">
        <f>SUM(D57:D58)</f>
        <v>183655645.00999999</v>
      </c>
      <c r="E59" s="1150"/>
      <c r="F59" s="305"/>
      <c r="G59" s="305"/>
      <c r="H59" s="305"/>
      <c r="I59" s="305"/>
      <c r="J59" s="1165" t="s">
        <v>1212</v>
      </c>
      <c r="K59" s="1171"/>
      <c r="L59" s="1171"/>
      <c r="M59" s="1150"/>
      <c r="N59" s="1150"/>
      <c r="O59" s="1150"/>
      <c r="P59" s="1150"/>
    </row>
    <row r="60" spans="1:16">
      <c r="A60" s="1171"/>
      <c r="B60" s="1171"/>
      <c r="C60" s="1171"/>
      <c r="D60" s="1171"/>
      <c r="E60" s="1171"/>
      <c r="F60" s="1171"/>
      <c r="G60" s="1178"/>
      <c r="H60" s="1171"/>
      <c r="I60" s="1171"/>
      <c r="J60" s="1171"/>
      <c r="K60" s="1171"/>
      <c r="L60" s="1171"/>
      <c r="M60" s="1171"/>
      <c r="N60" s="1171"/>
      <c r="O60" s="1171"/>
      <c r="P60" s="1171"/>
    </row>
    <row r="61" spans="1:16">
      <c r="A61" s="1171"/>
      <c r="B61" s="1171"/>
      <c r="C61" s="1171"/>
      <c r="D61" s="1171"/>
      <c r="E61" s="1171"/>
      <c r="F61" s="1171"/>
      <c r="G61" s="1171"/>
      <c r="H61" s="1171"/>
      <c r="I61" s="1171"/>
      <c r="J61" s="1171"/>
      <c r="K61" s="1171"/>
      <c r="L61" s="1171"/>
      <c r="M61" s="1171"/>
      <c r="N61" s="1171"/>
      <c r="O61" s="1171"/>
      <c r="P61" s="1171"/>
    </row>
    <row r="62" spans="1:16">
      <c r="A62" s="1171"/>
      <c r="B62" s="1171"/>
      <c r="C62" s="1171"/>
      <c r="D62" s="1171"/>
      <c r="E62" s="1171"/>
      <c r="F62" s="1171"/>
      <c r="G62" s="1171"/>
      <c r="H62" s="1171"/>
      <c r="I62" s="1171"/>
      <c r="J62" s="1171"/>
      <c r="K62" s="1171"/>
      <c r="L62" s="1171"/>
      <c r="M62" s="1171"/>
      <c r="N62" s="1171"/>
      <c r="O62" s="1171"/>
      <c r="P62" s="1171"/>
    </row>
    <row r="63" spans="1:16">
      <c r="A63" s="1171"/>
      <c r="B63" s="1171"/>
      <c r="C63" s="1171"/>
      <c r="D63" s="1171"/>
      <c r="E63" s="1171"/>
      <c r="F63" s="1171"/>
      <c r="G63" s="1171"/>
      <c r="H63" s="1171"/>
      <c r="I63" s="1171"/>
      <c r="J63" s="1171"/>
      <c r="K63" s="1171"/>
      <c r="L63" s="1171"/>
      <c r="M63" s="1171"/>
      <c r="N63" s="1171"/>
      <c r="O63" s="1171"/>
      <c r="P63" s="1171"/>
    </row>
    <row r="64" spans="1:16">
      <c r="A64" s="1171"/>
      <c r="B64" s="1171"/>
      <c r="C64" s="1171"/>
      <c r="D64" s="1171"/>
      <c r="E64" s="1171"/>
      <c r="F64" s="1171"/>
      <c r="G64" s="1171"/>
      <c r="H64" s="1171"/>
      <c r="I64" s="1171"/>
      <c r="J64" s="1171"/>
      <c r="K64" s="1171"/>
      <c r="L64" s="1171"/>
      <c r="M64" s="1171"/>
      <c r="N64" s="1171"/>
      <c r="O64" s="1171"/>
      <c r="P64" s="1171"/>
    </row>
    <row r="65" spans="1:16">
      <c r="A65" s="1171"/>
      <c r="B65" s="1171"/>
      <c r="C65" s="1171"/>
      <c r="D65" s="1171"/>
      <c r="E65" s="1171"/>
      <c r="F65" s="1171"/>
      <c r="G65" s="1171"/>
      <c r="H65" s="1171"/>
      <c r="I65" s="1171"/>
      <c r="J65" s="1171"/>
      <c r="K65" s="1171"/>
      <c r="L65" s="1171"/>
      <c r="M65" s="1171"/>
      <c r="N65" s="1171"/>
      <c r="O65" s="1171"/>
      <c r="P65" s="1171"/>
    </row>
    <row r="66" spans="1:16">
      <c r="A66" s="1171"/>
      <c r="B66" s="1171"/>
      <c r="C66" s="1171"/>
      <c r="D66" s="1171"/>
      <c r="E66" s="1171"/>
      <c r="F66" s="1171"/>
      <c r="G66" s="1171"/>
      <c r="H66" s="1171"/>
      <c r="I66" s="1171"/>
      <c r="J66" s="1171"/>
      <c r="K66" s="1171"/>
      <c r="L66" s="1171"/>
      <c r="M66" s="1171"/>
      <c r="N66" s="1171"/>
      <c r="O66" s="1171"/>
      <c r="P66" s="1171"/>
    </row>
    <row r="67" spans="1:16">
      <c r="A67" s="1171"/>
      <c r="B67" s="1171"/>
      <c r="C67" s="1171"/>
      <c r="D67" s="1171"/>
      <c r="E67" s="1171"/>
      <c r="F67" s="1171"/>
      <c r="G67" s="1171"/>
      <c r="H67" s="1171"/>
      <c r="I67" s="1171"/>
      <c r="J67" s="1171"/>
      <c r="K67" s="1171"/>
      <c r="L67" s="1171"/>
      <c r="M67" s="1171"/>
      <c r="N67" s="1171"/>
      <c r="O67" s="1171"/>
      <c r="P67" s="1171"/>
    </row>
    <row r="68" spans="1:16">
      <c r="A68" s="1171"/>
      <c r="B68" s="1171"/>
      <c r="C68" s="1171"/>
      <c r="D68" s="1171"/>
      <c r="E68" s="1171"/>
      <c r="F68" s="1171"/>
      <c r="G68" s="1171"/>
      <c r="H68" s="1171"/>
      <c r="I68" s="1171"/>
      <c r="J68" s="1171"/>
      <c r="K68" s="1171"/>
      <c r="L68" s="1171"/>
      <c r="M68" s="1171"/>
      <c r="N68" s="1171"/>
      <c r="O68" s="1171"/>
      <c r="P68" s="1171"/>
    </row>
    <row r="69" spans="1:16">
      <c r="A69" s="1171"/>
      <c r="B69" s="1171"/>
      <c r="C69" s="1171"/>
      <c r="D69" s="1171"/>
      <c r="E69" s="1171"/>
      <c r="F69" s="1171"/>
      <c r="G69" s="1171"/>
      <c r="H69" s="1171"/>
      <c r="I69" s="1171"/>
      <c r="J69" s="1171"/>
      <c r="K69" s="1171"/>
      <c r="L69" s="1171"/>
      <c r="M69" s="1171"/>
      <c r="N69" s="1171"/>
      <c r="O69" s="1171"/>
      <c r="P69" s="1171"/>
    </row>
    <row r="70" spans="1:16">
      <c r="A70" s="1171"/>
      <c r="B70" s="1171"/>
      <c r="C70" s="1171"/>
      <c r="D70" s="1171"/>
      <c r="E70" s="1171"/>
      <c r="F70" s="1171"/>
      <c r="G70" s="1171"/>
      <c r="H70" s="1171"/>
      <c r="I70" s="1171"/>
      <c r="J70" s="1171"/>
      <c r="K70" s="1171"/>
      <c r="L70" s="1171"/>
      <c r="M70" s="1171"/>
      <c r="N70" s="1171"/>
      <c r="O70" s="1171"/>
      <c r="P70" s="1171"/>
    </row>
    <row r="71" spans="1:16">
      <c r="A71" s="1171"/>
      <c r="B71" s="1171"/>
      <c r="C71" s="1171"/>
      <c r="D71" s="1171"/>
      <c r="E71" s="1171"/>
      <c r="F71" s="1171"/>
      <c r="G71" s="1171"/>
      <c r="H71" s="1171"/>
      <c r="I71" s="1171"/>
      <c r="J71" s="1171"/>
      <c r="K71" s="1171"/>
      <c r="L71" s="1171"/>
      <c r="M71" s="1171"/>
      <c r="N71" s="1171"/>
      <c r="O71" s="1171"/>
      <c r="P71" s="1171"/>
    </row>
    <row r="72" spans="1:16">
      <c r="A72" s="1171"/>
      <c r="B72" s="1171"/>
      <c r="C72" s="1171"/>
      <c r="D72" s="1171"/>
      <c r="E72" s="1171"/>
      <c r="F72" s="1171"/>
      <c r="G72" s="1171"/>
      <c r="H72" s="1171"/>
      <c r="I72" s="1171"/>
      <c r="J72" s="1171"/>
      <c r="K72" s="1171"/>
      <c r="L72" s="1171"/>
      <c r="M72" s="1171"/>
      <c r="N72" s="1171"/>
      <c r="O72" s="1171"/>
      <c r="P72" s="1171"/>
    </row>
    <row r="73" spans="1:16">
      <c r="A73" s="1171"/>
      <c r="B73" s="1171"/>
      <c r="C73" s="1171"/>
      <c r="D73" s="1171"/>
      <c r="E73" s="1171"/>
      <c r="F73" s="1171"/>
      <c r="G73" s="1171"/>
      <c r="H73" s="1171"/>
      <c r="I73" s="1171"/>
      <c r="J73" s="1171"/>
      <c r="K73" s="1171"/>
      <c r="L73" s="1171"/>
      <c r="M73" s="1171"/>
      <c r="N73" s="1171"/>
      <c r="O73" s="1171"/>
      <c r="P73" s="1171"/>
    </row>
    <row r="74" spans="1:16">
      <c r="A74" s="1171"/>
      <c r="B74" s="1171"/>
      <c r="C74" s="1171"/>
      <c r="D74" s="1171"/>
      <c r="E74" s="1171"/>
      <c r="F74" s="1171"/>
      <c r="G74" s="1171"/>
      <c r="H74" s="1171"/>
      <c r="I74" s="1171"/>
      <c r="J74" s="1171"/>
      <c r="K74" s="1171"/>
      <c r="L74" s="1171"/>
      <c r="M74" s="1171"/>
      <c r="N74" s="1171"/>
      <c r="O74" s="1171"/>
      <c r="P74" s="1171"/>
    </row>
    <row r="75" spans="1:16">
      <c r="A75" s="1171"/>
      <c r="B75" s="1171"/>
      <c r="C75" s="1171"/>
      <c r="D75" s="1171"/>
      <c r="E75" s="1171"/>
      <c r="F75" s="1171"/>
      <c r="G75" s="1171"/>
      <c r="H75" s="1171"/>
      <c r="I75" s="1171"/>
      <c r="J75" s="1171"/>
      <c r="K75" s="1171"/>
      <c r="L75" s="1171"/>
      <c r="M75" s="1171"/>
      <c r="N75" s="1171"/>
      <c r="O75" s="1171"/>
      <c r="P75" s="1171"/>
    </row>
    <row r="76" spans="1:16">
      <c r="A76" s="1171"/>
      <c r="B76" s="1171"/>
      <c r="C76" s="1171"/>
      <c r="D76" s="1171"/>
      <c r="E76" s="1171"/>
      <c r="F76" s="1171"/>
      <c r="G76" s="1171"/>
      <c r="H76" s="1171"/>
      <c r="I76" s="1171"/>
      <c r="J76" s="1171"/>
      <c r="K76" s="1171"/>
      <c r="L76" s="1171"/>
      <c r="M76" s="1171"/>
      <c r="N76" s="1171"/>
      <c r="O76" s="1171"/>
      <c r="P76" s="1171"/>
    </row>
    <row r="77" spans="1:16">
      <c r="A77" s="1171"/>
      <c r="B77" s="1171"/>
      <c r="C77" s="1171"/>
      <c r="D77" s="1171"/>
      <c r="E77" s="1171"/>
      <c r="F77" s="1171"/>
      <c r="G77" s="1171"/>
      <c r="H77" s="1171"/>
      <c r="I77" s="1171"/>
      <c r="J77" s="1171"/>
      <c r="K77" s="1171"/>
      <c r="L77" s="1171"/>
      <c r="M77" s="1171"/>
      <c r="N77" s="1171"/>
      <c r="O77" s="1171"/>
      <c r="P77" s="1171"/>
    </row>
    <row r="78" spans="1:16">
      <c r="A78" s="1171"/>
      <c r="B78" s="1171"/>
      <c r="C78" s="1171"/>
      <c r="D78" s="1171"/>
      <c r="E78" s="1171"/>
      <c r="F78" s="1171"/>
      <c r="G78" s="1171"/>
      <c r="H78" s="1171"/>
      <c r="I78" s="1171"/>
      <c r="J78" s="1171"/>
      <c r="K78" s="1171"/>
      <c r="L78" s="1171"/>
      <c r="M78" s="1171"/>
      <c r="N78" s="1171"/>
      <c r="O78" s="1171"/>
      <c r="P78" s="1171"/>
    </row>
    <row r="79" spans="1:16">
      <c r="A79" s="1171"/>
      <c r="B79" s="1171"/>
      <c r="C79" s="1171"/>
      <c r="D79" s="1171"/>
      <c r="E79" s="1171"/>
      <c r="F79" s="1171"/>
      <c r="G79" s="1171"/>
      <c r="H79" s="1171"/>
      <c r="I79" s="1171"/>
      <c r="J79" s="1171"/>
      <c r="K79" s="1171"/>
      <c r="L79" s="1171"/>
      <c r="M79" s="1171"/>
      <c r="N79" s="1171"/>
      <c r="O79" s="1171"/>
      <c r="P79" s="1171"/>
    </row>
    <row r="80" spans="1:16">
      <c r="A80" s="1171"/>
      <c r="B80" s="1171"/>
      <c r="C80" s="1171"/>
      <c r="D80" s="1171"/>
      <c r="E80" s="1171"/>
      <c r="F80" s="1171"/>
      <c r="G80" s="1171"/>
      <c r="H80" s="1171"/>
      <c r="I80" s="1171"/>
      <c r="J80" s="1171"/>
      <c r="K80" s="1171"/>
      <c r="L80" s="1171"/>
      <c r="M80" s="1171"/>
      <c r="N80" s="1171"/>
      <c r="O80" s="1171"/>
      <c r="P80" s="1171"/>
    </row>
    <row r="81" spans="1:16">
      <c r="A81" s="1171"/>
      <c r="B81" s="1171"/>
      <c r="C81" s="1171"/>
      <c r="D81" s="1171"/>
      <c r="E81" s="1171"/>
      <c r="F81" s="1171"/>
      <c r="G81" s="1171"/>
      <c r="H81" s="1171"/>
      <c r="I81" s="1171"/>
      <c r="J81" s="1171"/>
      <c r="K81" s="1171"/>
      <c r="L81" s="1171"/>
      <c r="M81" s="1171"/>
      <c r="N81" s="1171"/>
      <c r="O81" s="1171"/>
      <c r="P81" s="1171"/>
    </row>
    <row r="82" spans="1:16">
      <c r="A82" s="1171"/>
      <c r="B82" s="1171"/>
      <c r="C82" s="1171"/>
      <c r="D82" s="1171"/>
      <c r="E82" s="1171"/>
      <c r="F82" s="1171"/>
      <c r="G82" s="1171"/>
      <c r="H82" s="1171"/>
      <c r="I82" s="1171"/>
      <c r="J82" s="1171"/>
      <c r="K82" s="1171"/>
      <c r="L82" s="1171"/>
      <c r="M82" s="1171"/>
      <c r="N82" s="1171"/>
      <c r="O82" s="1171"/>
      <c r="P82" s="1171"/>
    </row>
    <row r="83" spans="1:16">
      <c r="A83" s="1171"/>
      <c r="B83" s="1171"/>
      <c r="C83" s="1171"/>
      <c r="D83" s="1171"/>
      <c r="E83" s="1171"/>
      <c r="F83" s="1171"/>
      <c r="G83" s="1171"/>
      <c r="H83" s="1171"/>
      <c r="I83" s="1171"/>
      <c r="J83" s="1171"/>
      <c r="K83" s="1171"/>
      <c r="L83" s="1171"/>
      <c r="M83" s="1171"/>
      <c r="N83" s="1171"/>
      <c r="O83" s="1171"/>
      <c r="P83" s="1171"/>
    </row>
    <row r="84" spans="1:16">
      <c r="A84" s="1171"/>
      <c r="B84" s="1171"/>
      <c r="C84" s="1171"/>
      <c r="D84" s="1171"/>
      <c r="E84" s="1171"/>
      <c r="F84" s="1171"/>
      <c r="G84" s="1171"/>
      <c r="H84" s="1171"/>
      <c r="I84" s="1171"/>
      <c r="J84" s="1171"/>
      <c r="K84" s="1171"/>
      <c r="L84" s="1171"/>
      <c r="M84" s="1171"/>
      <c r="N84" s="1171"/>
      <c r="O84" s="1171"/>
      <c r="P84" s="1171"/>
    </row>
    <row r="85" spans="1:16">
      <c r="A85" s="1171"/>
      <c r="B85" s="1171"/>
      <c r="C85" s="1171"/>
      <c r="D85" s="1171"/>
      <c r="E85" s="1171"/>
      <c r="F85" s="1171"/>
      <c r="G85" s="1171"/>
      <c r="H85" s="1171"/>
      <c r="I85" s="1171"/>
      <c r="J85" s="1171"/>
      <c r="K85" s="1171"/>
      <c r="L85" s="1171"/>
      <c r="M85" s="1171"/>
      <c r="N85" s="1171"/>
      <c r="O85" s="1171"/>
      <c r="P85" s="1171"/>
    </row>
    <row r="86" spans="1:16">
      <c r="A86" s="1171"/>
      <c r="B86" s="1171"/>
      <c r="C86" s="1171"/>
      <c r="D86" s="1171"/>
      <c r="E86" s="1171"/>
      <c r="F86" s="1171"/>
      <c r="G86" s="1171"/>
      <c r="H86" s="1171"/>
      <c r="I86" s="1171"/>
      <c r="J86" s="1171"/>
      <c r="K86" s="1171"/>
      <c r="L86" s="1171"/>
      <c r="M86" s="1171"/>
      <c r="N86" s="1171"/>
      <c r="O86" s="1171"/>
      <c r="P86" s="1171"/>
    </row>
    <row r="87" spans="1:16">
      <c r="A87" s="1171"/>
      <c r="B87" s="1171"/>
      <c r="C87" s="1171"/>
      <c r="D87" s="1171"/>
      <c r="E87" s="1171"/>
      <c r="F87" s="1171"/>
      <c r="G87" s="1171"/>
      <c r="H87" s="1171"/>
      <c r="I87" s="1171"/>
      <c r="J87" s="1171"/>
      <c r="K87" s="1171"/>
      <c r="L87" s="1171"/>
      <c r="M87" s="1171"/>
      <c r="N87" s="1171"/>
      <c r="O87" s="1171"/>
      <c r="P87" s="1171"/>
    </row>
    <row r="88" spans="1:16">
      <c r="A88" s="1171"/>
      <c r="B88" s="1171"/>
      <c r="C88" s="1171"/>
      <c r="D88" s="1171"/>
      <c r="E88" s="1171"/>
      <c r="F88" s="1171"/>
      <c r="G88" s="1171"/>
      <c r="H88" s="1171"/>
      <c r="I88" s="1171"/>
      <c r="J88" s="1171"/>
      <c r="K88" s="1171"/>
      <c r="L88" s="1171"/>
      <c r="M88" s="1171"/>
      <c r="N88" s="1171"/>
      <c r="O88" s="1171"/>
      <c r="P88" s="1171"/>
    </row>
    <row r="89" spans="1:16">
      <c r="A89" s="1171"/>
      <c r="B89" s="1171"/>
      <c r="C89" s="1171"/>
      <c r="D89" s="1171"/>
      <c r="E89" s="1171"/>
      <c r="F89" s="1171"/>
      <c r="G89" s="1171"/>
      <c r="H89" s="1171"/>
      <c r="I89" s="1171"/>
      <c r="J89" s="1171"/>
      <c r="K89" s="1171"/>
      <c r="L89" s="1171"/>
      <c r="M89" s="1171"/>
      <c r="N89" s="1171"/>
      <c r="O89" s="1171"/>
      <c r="P89" s="1171"/>
    </row>
    <row r="90" spans="1:16">
      <c r="A90" s="1171"/>
      <c r="B90" s="1171"/>
      <c r="C90" s="1171"/>
      <c r="D90" s="1171"/>
      <c r="E90" s="1171"/>
      <c r="F90" s="1171"/>
      <c r="G90" s="1171"/>
      <c r="H90" s="1171"/>
      <c r="I90" s="1171"/>
      <c r="J90" s="1171"/>
      <c r="K90" s="1171"/>
      <c r="L90" s="1171"/>
      <c r="M90" s="1171"/>
      <c r="N90" s="1171"/>
      <c r="O90" s="1171"/>
      <c r="P90" s="1171"/>
    </row>
    <row r="91" spans="1:16">
      <c r="A91" s="1171"/>
      <c r="B91" s="1171"/>
      <c r="C91" s="1171"/>
      <c r="D91" s="1171"/>
      <c r="E91" s="1171"/>
      <c r="F91" s="1171"/>
      <c r="G91" s="1171"/>
      <c r="H91" s="1171"/>
      <c r="I91" s="1171"/>
      <c r="J91" s="1171"/>
      <c r="K91" s="1171"/>
      <c r="L91" s="1171"/>
      <c r="M91" s="1171"/>
      <c r="N91" s="1171"/>
      <c r="O91" s="1171"/>
      <c r="P91" s="1171"/>
    </row>
    <row r="92" spans="1:16">
      <c r="A92" s="1171"/>
      <c r="B92" s="1171"/>
      <c r="C92" s="1171"/>
      <c r="D92" s="1171"/>
      <c r="E92" s="1171"/>
      <c r="F92" s="1171"/>
      <c r="G92" s="1171"/>
      <c r="H92" s="1171"/>
      <c r="I92" s="1171"/>
      <c r="J92" s="1171"/>
      <c r="K92" s="1171"/>
      <c r="L92" s="1171"/>
      <c r="M92" s="1171"/>
      <c r="N92" s="1171"/>
      <c r="O92" s="1171"/>
      <c r="P92" s="1171"/>
    </row>
    <row r="93" spans="1:16">
      <c r="A93" s="1171"/>
      <c r="B93" s="1171"/>
      <c r="C93" s="1171"/>
      <c r="D93" s="1171"/>
      <c r="E93" s="1171"/>
      <c r="F93" s="1171"/>
      <c r="G93" s="1171"/>
      <c r="H93" s="1171"/>
      <c r="I93" s="1171"/>
      <c r="J93" s="1171"/>
      <c r="K93" s="1171"/>
      <c r="L93" s="1171"/>
      <c r="M93" s="1171"/>
      <c r="N93" s="1171"/>
      <c r="O93" s="1171"/>
      <c r="P93" s="1171"/>
    </row>
    <row r="94" spans="1:16">
      <c r="A94" s="1171"/>
      <c r="B94" s="1171"/>
      <c r="C94" s="1171"/>
      <c r="D94" s="1171"/>
      <c r="E94" s="1171"/>
      <c r="F94" s="1171"/>
      <c r="G94" s="1171"/>
      <c r="H94" s="1171"/>
      <c r="I94" s="1171"/>
      <c r="J94" s="1171"/>
      <c r="K94" s="1171"/>
      <c r="L94" s="1171"/>
      <c r="M94" s="1171"/>
      <c r="N94" s="1171"/>
      <c r="O94" s="1171"/>
      <c r="P94" s="1171"/>
    </row>
    <row r="95" spans="1:16">
      <c r="A95" s="1171"/>
      <c r="B95" s="1171"/>
      <c r="C95" s="1171"/>
      <c r="D95" s="1171"/>
      <c r="E95" s="1171"/>
      <c r="F95" s="1171"/>
      <c r="G95" s="1171"/>
      <c r="H95" s="1171"/>
      <c r="I95" s="1171"/>
      <c r="J95" s="1171"/>
      <c r="K95" s="1171"/>
      <c r="L95" s="1171"/>
      <c r="M95" s="1171"/>
      <c r="N95" s="1171"/>
      <c r="O95" s="1171"/>
      <c r="P95" s="1171"/>
    </row>
    <row r="96" spans="1:16">
      <c r="A96" s="1171"/>
      <c r="B96" s="1171"/>
      <c r="C96" s="1171"/>
      <c r="D96" s="1171"/>
      <c r="E96" s="1171"/>
      <c r="F96" s="1171"/>
      <c r="G96" s="1171"/>
      <c r="H96" s="1171"/>
      <c r="I96" s="1171"/>
      <c r="J96" s="1171"/>
      <c r="K96" s="1171"/>
      <c r="L96" s="1171"/>
      <c r="M96" s="1171"/>
      <c r="N96" s="1171"/>
      <c r="O96" s="1171"/>
      <c r="P96" s="1171"/>
    </row>
    <row r="97" spans="1:16">
      <c r="A97" s="1171"/>
      <c r="B97" s="1171"/>
      <c r="C97" s="1171"/>
      <c r="D97" s="1171"/>
      <c r="E97" s="1171"/>
      <c r="F97" s="1171"/>
      <c r="G97" s="1171"/>
      <c r="H97" s="1171"/>
      <c r="I97" s="1171"/>
      <c r="J97" s="1171"/>
      <c r="K97" s="1171"/>
      <c r="L97" s="1171"/>
      <c r="M97" s="1171"/>
      <c r="N97" s="1171"/>
      <c r="O97" s="1171"/>
      <c r="P97" s="1171"/>
    </row>
    <row r="98" spans="1:16">
      <c r="A98" s="1171"/>
      <c r="B98" s="1171"/>
      <c r="C98" s="1171"/>
      <c r="D98" s="1171"/>
      <c r="E98" s="1171"/>
      <c r="F98" s="1171"/>
      <c r="G98" s="1171"/>
      <c r="H98" s="1171"/>
      <c r="I98" s="1171"/>
      <c r="J98" s="1171"/>
      <c r="K98" s="1171"/>
      <c r="L98" s="1171"/>
      <c r="M98" s="1171"/>
      <c r="N98" s="1171"/>
      <c r="O98" s="1171"/>
      <c r="P98" s="1171"/>
    </row>
    <row r="99" spans="1:16">
      <c r="A99" s="1171"/>
      <c r="B99" s="1171"/>
      <c r="C99" s="1171"/>
      <c r="D99" s="1171"/>
      <c r="E99" s="1171"/>
      <c r="F99" s="1171"/>
      <c r="G99" s="1171"/>
      <c r="H99" s="1171"/>
      <c r="I99" s="1171"/>
      <c r="J99" s="1171"/>
      <c r="K99" s="1171"/>
      <c r="L99" s="1171"/>
      <c r="M99" s="1171"/>
      <c r="N99" s="1171"/>
      <c r="O99" s="1171"/>
      <c r="P99" s="1171"/>
    </row>
    <row r="100" spans="1:16">
      <c r="A100" s="1171"/>
      <c r="B100" s="1171"/>
      <c r="C100" s="1171"/>
      <c r="D100" s="1171"/>
      <c r="E100" s="1171"/>
      <c r="F100" s="1171"/>
      <c r="G100" s="1171"/>
      <c r="H100" s="1171"/>
      <c r="I100" s="1171"/>
      <c r="J100" s="1171"/>
      <c r="K100" s="1171"/>
      <c r="L100" s="1171"/>
      <c r="M100" s="1171"/>
      <c r="N100" s="1171"/>
      <c r="O100" s="1171"/>
      <c r="P100" s="1171"/>
    </row>
    <row r="101" spans="1:16">
      <c r="A101" s="1171"/>
      <c r="B101" s="1171"/>
      <c r="C101" s="1171"/>
      <c r="D101" s="1171"/>
      <c r="E101" s="1171"/>
      <c r="F101" s="1171"/>
      <c r="G101" s="1171"/>
      <c r="H101" s="1171"/>
      <c r="I101" s="1171"/>
      <c r="J101" s="1171"/>
      <c r="K101" s="1171"/>
      <c r="L101" s="1171"/>
      <c r="M101" s="1171"/>
      <c r="N101" s="1171"/>
      <c r="O101" s="1171"/>
      <c r="P101" s="1171"/>
    </row>
    <row r="102" spans="1:16">
      <c r="A102" s="1171"/>
      <c r="B102" s="1171"/>
      <c r="C102" s="1171"/>
      <c r="D102" s="1171"/>
      <c r="E102" s="1171"/>
      <c r="F102" s="1171"/>
      <c r="G102" s="1171"/>
      <c r="H102" s="1171"/>
      <c r="I102" s="1171"/>
      <c r="J102" s="1171"/>
      <c r="K102" s="1171"/>
      <c r="L102" s="1171"/>
      <c r="M102" s="1171"/>
      <c r="N102" s="1171"/>
      <c r="O102" s="1171"/>
      <c r="P102" s="1171"/>
    </row>
    <row r="103" spans="1:16">
      <c r="A103" s="1171"/>
      <c r="B103" s="1171"/>
      <c r="C103" s="1171"/>
      <c r="D103" s="1171"/>
      <c r="E103" s="1171"/>
      <c r="F103" s="1171"/>
      <c r="G103" s="1171"/>
      <c r="H103" s="1171"/>
      <c r="I103" s="1171"/>
      <c r="J103" s="1171"/>
      <c r="K103" s="1171"/>
      <c r="L103" s="1171"/>
      <c r="M103" s="1171"/>
      <c r="N103" s="1171"/>
      <c r="O103" s="1171"/>
      <c r="P103" s="1171"/>
    </row>
    <row r="104" spans="1:16">
      <c r="A104" s="1171"/>
      <c r="B104" s="1171"/>
      <c r="C104" s="1171"/>
      <c r="D104" s="1171"/>
      <c r="E104" s="1171"/>
      <c r="F104" s="1171"/>
      <c r="G104" s="1171"/>
      <c r="H104" s="1171"/>
      <c r="I104" s="1171"/>
      <c r="J104" s="1171"/>
      <c r="K104" s="1171"/>
      <c r="L104" s="1171"/>
      <c r="M104" s="1171"/>
      <c r="N104" s="1171"/>
      <c r="O104" s="1171"/>
      <c r="P104" s="1171"/>
    </row>
    <row r="105" spans="1:16">
      <c r="A105" s="1171"/>
      <c r="B105" s="1171"/>
      <c r="C105" s="1171"/>
      <c r="D105" s="1171"/>
      <c r="E105" s="1171"/>
      <c r="F105" s="1171"/>
      <c r="G105" s="1171"/>
      <c r="H105" s="1171"/>
      <c r="I105" s="1171"/>
      <c r="J105" s="1171"/>
      <c r="K105" s="1171"/>
      <c r="L105" s="1171"/>
      <c r="M105" s="1171"/>
      <c r="N105" s="1171"/>
      <c r="O105" s="1171"/>
      <c r="P105" s="1171"/>
    </row>
    <row r="106" spans="1:16">
      <c r="A106" s="1171"/>
      <c r="B106" s="1171"/>
      <c r="C106" s="1171"/>
      <c r="D106" s="1171"/>
      <c r="E106" s="1171"/>
      <c r="F106" s="1171"/>
      <c r="G106" s="1171"/>
      <c r="H106" s="1171"/>
      <c r="I106" s="1171"/>
      <c r="J106" s="1171"/>
      <c r="K106" s="1171"/>
      <c r="L106" s="1171"/>
      <c r="M106" s="1171"/>
      <c r="N106" s="1171"/>
      <c r="O106" s="1171"/>
      <c r="P106" s="1171"/>
    </row>
    <row r="107" spans="1:16">
      <c r="A107" s="1171"/>
      <c r="B107" s="1171"/>
      <c r="C107" s="1171"/>
      <c r="D107" s="1171"/>
      <c r="E107" s="1171"/>
      <c r="F107" s="1171"/>
      <c r="G107" s="1171"/>
      <c r="H107" s="1171"/>
      <c r="I107" s="1171"/>
      <c r="J107" s="1171"/>
      <c r="K107" s="1171"/>
      <c r="L107" s="1171"/>
      <c r="M107" s="1171"/>
      <c r="N107" s="1171"/>
      <c r="O107" s="1171"/>
      <c r="P107" s="1171"/>
    </row>
    <row r="108" spans="1:16">
      <c r="A108" s="1171"/>
      <c r="B108" s="1171"/>
      <c r="C108" s="1171"/>
      <c r="D108" s="1171"/>
      <c r="E108" s="1171"/>
      <c r="F108" s="1171"/>
      <c r="G108" s="1171"/>
      <c r="H108" s="1171"/>
      <c r="I108" s="1171"/>
      <c r="J108" s="1171"/>
      <c r="K108" s="1171"/>
      <c r="L108" s="1171"/>
      <c r="M108" s="1171"/>
      <c r="N108" s="1171"/>
      <c r="O108" s="1171"/>
      <c r="P108" s="1171"/>
    </row>
    <row r="109" spans="1:16">
      <c r="A109" s="1171"/>
      <c r="B109" s="1171"/>
      <c r="C109" s="1171"/>
      <c r="D109" s="1171"/>
      <c r="E109" s="1171"/>
      <c r="F109" s="1171"/>
      <c r="G109" s="1171"/>
      <c r="H109" s="1171"/>
      <c r="I109" s="1171"/>
      <c r="J109" s="1171"/>
      <c r="K109" s="1171"/>
      <c r="L109" s="1171"/>
      <c r="M109" s="1171"/>
      <c r="N109" s="1171"/>
      <c r="O109" s="1171"/>
      <c r="P109" s="1171"/>
    </row>
    <row r="110" spans="1:16">
      <c r="A110" s="1171"/>
      <c r="B110" s="1171"/>
      <c r="C110" s="1171"/>
      <c r="D110" s="1171"/>
      <c r="E110" s="1171"/>
      <c r="F110" s="1171"/>
      <c r="G110" s="1171"/>
      <c r="H110" s="1171"/>
      <c r="I110" s="1171"/>
      <c r="J110" s="1171"/>
      <c r="K110" s="1171"/>
      <c r="L110" s="1171"/>
      <c r="M110" s="1171"/>
      <c r="N110" s="1171"/>
      <c r="O110" s="1171"/>
      <c r="P110" s="1171"/>
    </row>
    <row r="111" spans="1:16">
      <c r="A111" s="1171"/>
      <c r="B111" s="1171"/>
      <c r="C111" s="1171"/>
      <c r="D111" s="1171"/>
      <c r="E111" s="1171"/>
      <c r="F111" s="1171"/>
      <c r="G111" s="1171"/>
      <c r="H111" s="1171"/>
      <c r="I111" s="1171"/>
      <c r="J111" s="1171"/>
      <c r="K111" s="1171"/>
      <c r="L111" s="1171"/>
      <c r="M111" s="1171"/>
      <c r="N111" s="1171"/>
      <c r="O111" s="1171"/>
      <c r="P111" s="1171"/>
    </row>
    <row r="112" spans="1:16">
      <c r="A112" s="1171"/>
      <c r="B112" s="1171"/>
      <c r="C112" s="1171"/>
      <c r="D112" s="1171"/>
      <c r="E112" s="1171"/>
      <c r="F112" s="1171"/>
      <c r="G112" s="1171"/>
      <c r="H112" s="1171"/>
      <c r="I112" s="1171"/>
      <c r="J112" s="1171"/>
      <c r="K112" s="1171"/>
      <c r="L112" s="1171"/>
      <c r="M112" s="1171"/>
      <c r="N112" s="1171"/>
      <c r="O112" s="1171"/>
      <c r="P112" s="1171"/>
    </row>
    <row r="113" spans="1:16">
      <c r="A113" s="1171"/>
      <c r="B113" s="1171"/>
      <c r="C113" s="1171"/>
      <c r="D113" s="1171"/>
      <c r="E113" s="1171"/>
      <c r="F113" s="1171"/>
      <c r="G113" s="1171"/>
      <c r="H113" s="1171"/>
      <c r="I113" s="1171"/>
      <c r="J113" s="1171"/>
      <c r="K113" s="1171"/>
      <c r="L113" s="1171"/>
      <c r="M113" s="1171"/>
      <c r="N113" s="1171"/>
      <c r="O113" s="1171"/>
      <c r="P113" s="1171"/>
    </row>
    <row r="114" spans="1:16">
      <c r="A114" s="1171"/>
      <c r="B114" s="1171"/>
      <c r="C114" s="1171"/>
      <c r="D114" s="1171"/>
      <c r="E114" s="1171"/>
      <c r="F114" s="1171"/>
      <c r="G114" s="1171"/>
      <c r="H114" s="1171"/>
      <c r="I114" s="1171"/>
      <c r="J114" s="1171"/>
      <c r="K114" s="1171"/>
      <c r="L114" s="1171"/>
      <c r="M114" s="1171"/>
      <c r="N114" s="1171"/>
      <c r="O114" s="1171"/>
      <c r="P114" s="1171"/>
    </row>
    <row r="115" spans="1:16">
      <c r="A115" s="1171"/>
      <c r="B115" s="1171"/>
      <c r="C115" s="1171"/>
      <c r="D115" s="1171"/>
      <c r="E115" s="1171"/>
      <c r="F115" s="1171"/>
      <c r="G115" s="1171"/>
      <c r="H115" s="1171"/>
      <c r="I115" s="1171"/>
      <c r="J115" s="1171"/>
      <c r="K115" s="1171"/>
      <c r="L115" s="1171"/>
      <c r="M115" s="1171"/>
      <c r="N115" s="1171"/>
      <c r="O115" s="1171"/>
      <c r="P115" s="1171"/>
    </row>
    <row r="116" spans="1:16">
      <c r="A116" s="1171"/>
      <c r="B116" s="1171"/>
      <c r="C116" s="1171"/>
      <c r="D116" s="1171"/>
      <c r="E116" s="1171"/>
      <c r="F116" s="1171"/>
      <c r="G116" s="1171"/>
      <c r="H116" s="1171"/>
      <c r="I116" s="1171"/>
      <c r="J116" s="1171"/>
      <c r="K116" s="1171"/>
      <c r="L116" s="1171"/>
      <c r="M116" s="1171"/>
      <c r="N116" s="1171"/>
      <c r="O116" s="1171"/>
      <c r="P116" s="1171"/>
    </row>
    <row r="117" spans="1:16">
      <c r="A117" s="1171"/>
      <c r="B117" s="1171"/>
      <c r="C117" s="1171"/>
      <c r="D117" s="1171"/>
      <c r="E117" s="1171"/>
      <c r="F117" s="1171"/>
      <c r="G117" s="1171"/>
      <c r="H117" s="1171"/>
      <c r="I117" s="1171"/>
      <c r="J117" s="1171"/>
      <c r="K117" s="1171"/>
      <c r="L117" s="1171"/>
      <c r="M117" s="1171"/>
      <c r="N117" s="1171"/>
      <c r="O117" s="1171"/>
      <c r="P117" s="1171"/>
    </row>
    <row r="118" spans="1:16">
      <c r="A118" s="1171"/>
      <c r="B118" s="1171"/>
      <c r="C118" s="1171"/>
      <c r="D118" s="1171"/>
      <c r="E118" s="1171"/>
      <c r="F118" s="1171"/>
      <c r="G118" s="1171"/>
      <c r="H118" s="1171"/>
      <c r="I118" s="1171"/>
      <c r="J118" s="1171"/>
      <c r="K118" s="1171"/>
      <c r="L118" s="1171"/>
      <c r="M118" s="1171"/>
      <c r="N118" s="1171"/>
      <c r="O118" s="1171"/>
      <c r="P118" s="1171"/>
    </row>
    <row r="119" spans="1:16">
      <c r="A119" s="1171"/>
      <c r="B119" s="1171"/>
      <c r="C119" s="1171"/>
      <c r="D119" s="1171"/>
      <c r="E119" s="1171"/>
      <c r="F119" s="1171"/>
      <c r="G119" s="1171"/>
      <c r="H119" s="1171"/>
      <c r="I119" s="1171"/>
      <c r="J119" s="1171"/>
      <c r="K119" s="1171"/>
      <c r="L119" s="1171"/>
      <c r="M119" s="1171"/>
      <c r="N119" s="1171"/>
      <c r="O119" s="1171"/>
      <c r="P119" s="1171"/>
    </row>
    <row r="120" spans="1:16">
      <c r="A120" s="1171"/>
      <c r="B120" s="1171"/>
      <c r="C120" s="1171"/>
      <c r="D120" s="1171"/>
      <c r="E120" s="1171"/>
      <c r="F120" s="1171"/>
      <c r="G120" s="1171"/>
      <c r="H120" s="1171"/>
      <c r="I120" s="1171"/>
      <c r="J120" s="1171"/>
      <c r="K120" s="1171"/>
      <c r="L120" s="1171"/>
      <c r="M120" s="1171"/>
      <c r="N120" s="1171"/>
      <c r="O120" s="1171"/>
      <c r="P120" s="1171"/>
    </row>
    <row r="121" spans="1:16">
      <c r="A121" s="1171"/>
      <c r="B121" s="1171"/>
      <c r="C121" s="1171"/>
      <c r="D121" s="1171"/>
      <c r="E121" s="1171"/>
      <c r="F121" s="1171"/>
      <c r="G121" s="1171"/>
      <c r="H121" s="1171"/>
      <c r="I121" s="1171"/>
      <c r="J121" s="1171"/>
      <c r="K121" s="1171"/>
      <c r="L121" s="1171"/>
      <c r="M121" s="1171"/>
      <c r="N121" s="1171"/>
      <c r="O121" s="1171"/>
      <c r="P121" s="1171"/>
    </row>
    <row r="122" spans="1:16">
      <c r="A122" s="1171"/>
      <c r="B122" s="1171"/>
      <c r="C122" s="1171"/>
      <c r="D122" s="1171"/>
      <c r="E122" s="1171"/>
      <c r="F122" s="1171"/>
      <c r="G122" s="1171"/>
      <c r="H122" s="1171"/>
      <c r="I122" s="1171"/>
      <c r="J122" s="1171"/>
      <c r="K122" s="1171"/>
      <c r="L122" s="1171"/>
      <c r="M122" s="1171"/>
      <c r="N122" s="1171"/>
      <c r="O122" s="1171"/>
      <c r="P122" s="1171"/>
    </row>
    <row r="123" spans="1:16">
      <c r="A123" s="1171"/>
      <c r="B123" s="1171"/>
      <c r="C123" s="1171"/>
      <c r="D123" s="1171"/>
      <c r="E123" s="1171"/>
      <c r="F123" s="1171"/>
      <c r="G123" s="1171"/>
      <c r="H123" s="1171"/>
      <c r="I123" s="1171"/>
      <c r="J123" s="1171"/>
      <c r="K123" s="1171"/>
      <c r="L123" s="1171"/>
      <c r="M123" s="1171"/>
      <c r="N123" s="1171"/>
      <c r="O123" s="1171"/>
      <c r="P123" s="1171"/>
    </row>
    <row r="124" spans="1:16">
      <c r="A124" s="1171"/>
      <c r="B124" s="1171"/>
      <c r="C124" s="1171"/>
      <c r="D124" s="1171"/>
      <c r="E124" s="1171"/>
      <c r="F124" s="1171"/>
      <c r="G124" s="1171"/>
      <c r="H124" s="1171"/>
      <c r="I124" s="1171"/>
      <c r="J124" s="1171"/>
      <c r="K124" s="1171"/>
      <c r="L124" s="1171"/>
      <c r="M124" s="1171"/>
      <c r="N124" s="1171"/>
      <c r="O124" s="1171"/>
      <c r="P124" s="1171"/>
    </row>
    <row r="125" spans="1:16">
      <c r="A125" s="1171"/>
      <c r="B125" s="1171"/>
      <c r="C125" s="1171"/>
      <c r="D125" s="1171"/>
      <c r="E125" s="1171"/>
      <c r="F125" s="1171"/>
      <c r="G125" s="1171"/>
      <c r="H125" s="1171"/>
      <c r="I125" s="1171"/>
      <c r="J125" s="1171"/>
      <c r="K125" s="1171"/>
      <c r="L125" s="1171"/>
      <c r="M125" s="1171"/>
      <c r="N125" s="1171"/>
      <c r="O125" s="1171"/>
      <c r="P125" s="1171"/>
    </row>
    <row r="126" spans="1:16">
      <c r="A126" s="1171"/>
      <c r="B126" s="1171"/>
      <c r="C126" s="1171"/>
      <c r="D126" s="1171"/>
      <c r="E126" s="1171"/>
      <c r="F126" s="1171"/>
      <c r="G126" s="1171"/>
      <c r="H126" s="1171"/>
      <c r="I126" s="1171"/>
      <c r="J126" s="1171"/>
      <c r="K126" s="1171"/>
      <c r="L126" s="1171"/>
      <c r="M126" s="1171"/>
      <c r="N126" s="1171"/>
      <c r="O126" s="1171"/>
      <c r="P126" s="1171"/>
    </row>
    <row r="127" spans="1:16">
      <c r="A127" s="1171"/>
      <c r="B127" s="1171"/>
      <c r="C127" s="1171"/>
      <c r="D127" s="1171"/>
      <c r="E127" s="1171"/>
      <c r="F127" s="1171"/>
      <c r="G127" s="1171"/>
      <c r="H127" s="1171"/>
      <c r="I127" s="1171"/>
      <c r="J127" s="1171"/>
      <c r="K127" s="1171"/>
      <c r="L127" s="1171"/>
      <c r="M127" s="1171"/>
      <c r="N127" s="1171"/>
      <c r="O127" s="1171"/>
      <c r="P127" s="1171"/>
    </row>
    <row r="128" spans="1:16">
      <c r="A128" s="1171"/>
      <c r="B128" s="1171"/>
      <c r="C128" s="1171"/>
      <c r="D128" s="1171"/>
      <c r="E128" s="1171"/>
      <c r="F128" s="1171"/>
      <c r="G128" s="1171"/>
      <c r="H128" s="1171"/>
      <c r="I128" s="1171"/>
      <c r="J128" s="1171"/>
      <c r="K128" s="1171"/>
      <c r="L128" s="1171"/>
      <c r="M128" s="1171"/>
      <c r="N128" s="1171"/>
      <c r="O128" s="1171"/>
      <c r="P128" s="1171"/>
    </row>
    <row r="129" spans="1:16">
      <c r="A129" s="1171"/>
      <c r="B129" s="1171"/>
      <c r="C129" s="1171"/>
      <c r="D129" s="1171"/>
      <c r="E129" s="1171"/>
      <c r="F129" s="1171"/>
      <c r="G129" s="1171"/>
      <c r="H129" s="1171"/>
      <c r="I129" s="1171"/>
      <c r="J129" s="1171"/>
      <c r="K129" s="1171"/>
      <c r="L129" s="1171"/>
      <c r="M129" s="1171"/>
      <c r="N129" s="1171"/>
      <c r="O129" s="1171"/>
      <c r="P129" s="1171"/>
    </row>
    <row r="130" spans="1:16">
      <c r="A130" s="1171"/>
      <c r="B130" s="1171"/>
      <c r="C130" s="1171"/>
      <c r="D130" s="1171"/>
      <c r="E130" s="1171"/>
      <c r="F130" s="1171"/>
      <c r="G130" s="1171"/>
      <c r="H130" s="1171"/>
      <c r="I130" s="1171"/>
      <c r="J130" s="1171"/>
      <c r="K130" s="1171"/>
      <c r="L130" s="1171"/>
      <c r="M130" s="1171"/>
      <c r="N130" s="1171"/>
      <c r="O130" s="1171"/>
      <c r="P130" s="1171"/>
    </row>
    <row r="131" spans="1:16">
      <c r="A131" s="1171"/>
      <c r="B131" s="1171"/>
      <c r="C131" s="1171"/>
      <c r="D131" s="1171"/>
      <c r="E131" s="1171"/>
      <c r="F131" s="1171"/>
      <c r="G131" s="1171"/>
      <c r="H131" s="1171"/>
      <c r="I131" s="1171"/>
      <c r="J131" s="1171"/>
      <c r="K131" s="1171"/>
      <c r="L131" s="1171"/>
      <c r="M131" s="1171"/>
      <c r="N131" s="1171"/>
      <c r="O131" s="1171"/>
      <c r="P131" s="1171"/>
    </row>
    <row r="132" spans="1:16">
      <c r="A132" s="1171"/>
      <c r="B132" s="1171"/>
      <c r="C132" s="1171"/>
      <c r="D132" s="1171"/>
      <c r="E132" s="1171"/>
      <c r="F132" s="1171"/>
      <c r="G132" s="1171"/>
      <c r="H132" s="1171"/>
      <c r="I132" s="1171"/>
      <c r="J132" s="1171"/>
      <c r="K132" s="1171"/>
      <c r="L132" s="1171"/>
      <c r="M132" s="1171"/>
      <c r="N132" s="1171"/>
      <c r="O132" s="1171"/>
      <c r="P132" s="1171"/>
    </row>
    <row r="133" spans="1:16">
      <c r="A133" s="1171"/>
      <c r="B133" s="1171"/>
      <c r="C133" s="1171"/>
      <c r="D133" s="1171"/>
      <c r="E133" s="1171"/>
      <c r="F133" s="1171"/>
      <c r="G133" s="1171"/>
      <c r="H133" s="1171"/>
      <c r="I133" s="1171"/>
      <c r="J133" s="1171"/>
      <c r="K133" s="1171"/>
      <c r="L133" s="1171"/>
      <c r="M133" s="1171"/>
      <c r="N133" s="1171"/>
      <c r="O133" s="1171"/>
      <c r="P133" s="1171"/>
    </row>
    <row r="134" spans="1:16">
      <c r="A134" s="1171"/>
      <c r="B134" s="1171"/>
      <c r="C134" s="1171"/>
      <c r="D134" s="1171"/>
      <c r="E134" s="1171"/>
      <c r="F134" s="1171"/>
      <c r="G134" s="1171"/>
      <c r="H134" s="1171"/>
      <c r="I134" s="1171"/>
      <c r="J134" s="1171"/>
      <c r="K134" s="1171"/>
      <c r="L134" s="1171"/>
      <c r="M134" s="1171"/>
      <c r="N134" s="1171"/>
      <c r="O134" s="1171"/>
      <c r="P134" s="1171"/>
    </row>
    <row r="135" spans="1:16">
      <c r="A135" s="1171"/>
      <c r="B135" s="1171"/>
      <c r="C135" s="1171"/>
      <c r="D135" s="1171"/>
      <c r="E135" s="1171"/>
      <c r="F135" s="1171"/>
      <c r="G135" s="1171"/>
      <c r="H135" s="1171"/>
      <c r="I135" s="1171"/>
      <c r="J135" s="1171"/>
      <c r="K135" s="1171"/>
      <c r="L135" s="1171"/>
      <c r="M135" s="1171"/>
      <c r="N135" s="1171"/>
      <c r="O135" s="1171"/>
      <c r="P135" s="1171"/>
    </row>
    <row r="136" spans="1:16">
      <c r="A136" s="1171"/>
      <c r="B136" s="1171"/>
      <c r="C136" s="1171"/>
      <c r="D136" s="1171"/>
      <c r="E136" s="1171"/>
      <c r="F136" s="1171"/>
      <c r="G136" s="1171"/>
      <c r="H136" s="1171"/>
      <c r="I136" s="1171"/>
      <c r="J136" s="1171"/>
      <c r="K136" s="1171"/>
      <c r="L136" s="1171"/>
      <c r="M136" s="1171"/>
      <c r="N136" s="1171"/>
      <c r="O136" s="1171"/>
      <c r="P136" s="1171"/>
    </row>
    <row r="137" spans="1:16">
      <c r="A137" s="1171"/>
      <c r="B137" s="1171"/>
      <c r="C137" s="1171"/>
      <c r="D137" s="1171"/>
      <c r="E137" s="1171"/>
      <c r="F137" s="1171"/>
      <c r="G137" s="1171"/>
      <c r="H137" s="1171"/>
      <c r="I137" s="1171"/>
      <c r="J137" s="1171"/>
      <c r="K137" s="1171"/>
      <c r="L137" s="1171"/>
      <c r="M137" s="1171"/>
      <c r="N137" s="1171"/>
      <c r="O137" s="1171"/>
      <c r="P137" s="1171"/>
    </row>
    <row r="138" spans="1:16">
      <c r="A138" s="1171"/>
      <c r="B138" s="1171"/>
      <c r="C138" s="1171"/>
      <c r="D138" s="1171"/>
      <c r="E138" s="1171"/>
      <c r="F138" s="1171"/>
      <c r="G138" s="1171"/>
      <c r="H138" s="1171"/>
      <c r="I138" s="1171"/>
      <c r="J138" s="1171"/>
      <c r="K138" s="1171"/>
      <c r="L138" s="1171"/>
      <c r="M138" s="1171"/>
      <c r="N138" s="1171"/>
      <c r="O138" s="1171"/>
      <c r="P138" s="1171"/>
    </row>
    <row r="139" spans="1:16">
      <c r="A139" s="1171"/>
      <c r="B139" s="1171"/>
      <c r="C139" s="1171"/>
      <c r="D139" s="1171"/>
      <c r="E139" s="1171"/>
      <c r="F139" s="1171"/>
      <c r="G139" s="1171"/>
      <c r="H139" s="1171"/>
      <c r="I139" s="1171"/>
      <c r="J139" s="1171"/>
      <c r="K139" s="1171"/>
      <c r="L139" s="1171"/>
      <c r="M139" s="1171"/>
      <c r="N139" s="1171"/>
      <c r="O139" s="1171"/>
      <c r="P139" s="1171"/>
    </row>
    <row r="140" spans="1:16">
      <c r="A140" s="1171"/>
      <c r="B140" s="1171"/>
      <c r="C140" s="1171"/>
      <c r="D140" s="1171"/>
      <c r="E140" s="1171"/>
      <c r="F140" s="1171"/>
      <c r="G140" s="1171"/>
      <c r="H140" s="1171"/>
      <c r="I140" s="1171"/>
      <c r="J140" s="1171"/>
      <c r="K140" s="1171"/>
      <c r="L140" s="1171"/>
      <c r="M140" s="1171"/>
      <c r="N140" s="1171"/>
      <c r="O140" s="1171"/>
      <c r="P140" s="1171"/>
    </row>
    <row r="141" spans="1:16">
      <c r="A141" s="1171"/>
      <c r="B141" s="1171"/>
      <c r="C141" s="1171"/>
      <c r="D141" s="1171"/>
      <c r="E141" s="1171"/>
      <c r="F141" s="1171"/>
      <c r="G141" s="1171"/>
      <c r="H141" s="1171"/>
      <c r="I141" s="1171"/>
      <c r="J141" s="1171"/>
      <c r="K141" s="1171"/>
      <c r="L141" s="1171"/>
      <c r="M141" s="1171"/>
      <c r="N141" s="1171"/>
      <c r="O141" s="1171"/>
      <c r="P141" s="1171"/>
    </row>
    <row r="142" spans="1:16">
      <c r="A142" s="1171"/>
      <c r="B142" s="1171"/>
      <c r="C142" s="1171"/>
      <c r="D142" s="1171"/>
      <c r="E142" s="1171"/>
      <c r="F142" s="1171"/>
      <c r="G142" s="1171"/>
      <c r="H142" s="1171"/>
      <c r="I142" s="1171"/>
      <c r="J142" s="1171"/>
      <c r="K142" s="1171"/>
      <c r="L142" s="1171"/>
      <c r="M142" s="1171"/>
      <c r="N142" s="1171"/>
      <c r="O142" s="1171"/>
      <c r="P142" s="1171"/>
    </row>
    <row r="143" spans="1:16">
      <c r="A143" s="1171"/>
      <c r="B143" s="1171"/>
      <c r="C143" s="1171"/>
      <c r="D143" s="1171"/>
      <c r="E143" s="1171"/>
      <c r="F143" s="1171"/>
      <c r="G143" s="1171"/>
      <c r="H143" s="1171"/>
      <c r="I143" s="1171"/>
      <c r="J143" s="1171"/>
      <c r="K143" s="1171"/>
      <c r="L143" s="1171"/>
      <c r="M143" s="1171"/>
      <c r="N143" s="1171"/>
      <c r="O143" s="1171"/>
      <c r="P143" s="1171"/>
    </row>
    <row r="144" spans="1:16">
      <c r="A144" s="1171"/>
      <c r="B144" s="1171"/>
      <c r="C144" s="1171"/>
      <c r="D144" s="1171"/>
      <c r="E144" s="1171"/>
      <c r="F144" s="1171"/>
      <c r="G144" s="1171"/>
      <c r="H144" s="1171"/>
      <c r="I144" s="1171"/>
      <c r="J144" s="1171"/>
      <c r="K144" s="1171"/>
      <c r="L144" s="1171"/>
      <c r="M144" s="1171"/>
      <c r="N144" s="1171"/>
      <c r="O144" s="1171"/>
      <c r="P144" s="1171"/>
    </row>
    <row r="145" spans="1:16">
      <c r="A145" s="1171"/>
      <c r="B145" s="1171"/>
      <c r="C145" s="1171"/>
      <c r="D145" s="1171"/>
      <c r="E145" s="1171"/>
      <c r="F145" s="1171"/>
      <c r="G145" s="1171"/>
      <c r="H145" s="1171"/>
      <c r="I145" s="1171"/>
      <c r="J145" s="1171"/>
      <c r="K145" s="1171"/>
      <c r="L145" s="1171"/>
      <c r="M145" s="1171"/>
      <c r="N145" s="1171"/>
      <c r="O145" s="1171"/>
      <c r="P145" s="1171"/>
    </row>
    <row r="146" spans="1:16">
      <c r="A146" s="1171"/>
      <c r="B146" s="1171"/>
      <c r="C146" s="1171"/>
      <c r="D146" s="1171"/>
      <c r="E146" s="1171"/>
      <c r="F146" s="1171"/>
      <c r="G146" s="1171"/>
      <c r="H146" s="1171"/>
      <c r="I146" s="1171"/>
      <c r="J146" s="1171"/>
      <c r="K146" s="1171"/>
      <c r="L146" s="1171"/>
      <c r="M146" s="1171"/>
      <c r="N146" s="1171"/>
      <c r="O146" s="1171"/>
      <c r="P146" s="1171"/>
    </row>
    <row r="147" spans="1:16">
      <c r="A147" s="1171"/>
      <c r="B147" s="1171"/>
      <c r="C147" s="1171"/>
      <c r="D147" s="1171"/>
      <c r="E147" s="1171"/>
      <c r="F147" s="1171"/>
      <c r="G147" s="1171"/>
      <c r="H147" s="1171"/>
      <c r="I147" s="1171"/>
      <c r="J147" s="1171"/>
      <c r="K147" s="1171"/>
      <c r="L147" s="1171"/>
      <c r="M147" s="1171"/>
      <c r="N147" s="1171"/>
      <c r="O147" s="1171"/>
      <c r="P147" s="1171"/>
    </row>
    <row r="148" spans="1:16">
      <c r="A148" s="1171"/>
      <c r="B148" s="1171"/>
      <c r="C148" s="1171"/>
      <c r="D148" s="1171"/>
      <c r="E148" s="1171"/>
      <c r="F148" s="1171"/>
      <c r="G148" s="1171"/>
      <c r="H148" s="1171"/>
      <c r="I148" s="1171"/>
      <c r="J148" s="1171"/>
      <c r="K148" s="1171"/>
      <c r="L148" s="1171"/>
      <c r="M148" s="1171"/>
      <c r="N148" s="1171"/>
      <c r="O148" s="1171"/>
      <c r="P148" s="1171"/>
    </row>
    <row r="149" spans="1:16">
      <c r="A149" s="1171"/>
      <c r="B149" s="1171"/>
      <c r="C149" s="1171"/>
      <c r="D149" s="1171"/>
      <c r="E149" s="1171"/>
      <c r="F149" s="1171"/>
      <c r="G149" s="1171"/>
      <c r="H149" s="1171"/>
      <c r="I149" s="1171"/>
      <c r="J149" s="1171"/>
      <c r="K149" s="1171"/>
      <c r="L149" s="1171"/>
      <c r="M149" s="1171"/>
      <c r="N149" s="1171"/>
      <c r="O149" s="1171"/>
      <c r="P149" s="1171"/>
    </row>
    <row r="150" spans="1:16">
      <c r="A150" s="1171"/>
      <c r="B150" s="1171"/>
      <c r="C150" s="1171"/>
      <c r="D150" s="1171"/>
      <c r="E150" s="1171"/>
      <c r="F150" s="1171"/>
      <c r="G150" s="1171"/>
      <c r="H150" s="1171"/>
      <c r="I150" s="1171"/>
      <c r="J150" s="1171"/>
      <c r="K150" s="1171"/>
      <c r="L150" s="1171"/>
      <c r="M150" s="1171"/>
      <c r="N150" s="1171"/>
      <c r="O150" s="1171"/>
      <c r="P150" s="1171"/>
    </row>
    <row r="151" spans="1:16">
      <c r="A151" s="1171"/>
      <c r="B151" s="1171"/>
      <c r="C151" s="1171"/>
      <c r="D151" s="1171"/>
      <c r="E151" s="1171"/>
      <c r="F151" s="1171"/>
      <c r="G151" s="1171"/>
      <c r="H151" s="1171"/>
      <c r="I151" s="1171"/>
      <c r="J151" s="1171"/>
      <c r="K151" s="1171"/>
      <c r="L151" s="1171"/>
      <c r="M151" s="1171"/>
      <c r="N151" s="1171"/>
      <c r="O151" s="1171"/>
      <c r="P151" s="1171"/>
    </row>
    <row r="152" spans="1:16">
      <c r="A152" s="1171"/>
      <c r="B152" s="1171"/>
      <c r="C152" s="1171"/>
      <c r="D152" s="1171"/>
      <c r="E152" s="1171"/>
      <c r="F152" s="1171"/>
      <c r="G152" s="1171"/>
      <c r="H152" s="1171"/>
      <c r="I152" s="1171"/>
      <c r="J152" s="1171"/>
      <c r="K152" s="1171"/>
      <c r="L152" s="1171"/>
      <c r="M152" s="1171"/>
      <c r="N152" s="1171"/>
      <c r="O152" s="1171"/>
      <c r="P152" s="1171"/>
    </row>
    <row r="153" spans="1:16">
      <c r="A153" s="1171"/>
      <c r="B153" s="1171"/>
      <c r="C153" s="1171"/>
      <c r="D153" s="1171"/>
      <c r="E153" s="1171"/>
      <c r="F153" s="1171"/>
      <c r="G153" s="1171"/>
      <c r="H153" s="1171"/>
      <c r="I153" s="1171"/>
      <c r="J153" s="1171"/>
      <c r="K153" s="1171"/>
      <c r="L153" s="1171"/>
      <c r="M153" s="1171"/>
      <c r="N153" s="1171"/>
      <c r="O153" s="1171"/>
      <c r="P153" s="1171"/>
    </row>
    <row r="154" spans="1:16">
      <c r="A154" s="1171"/>
      <c r="B154" s="1171"/>
      <c r="C154" s="1171"/>
      <c r="D154" s="1171"/>
      <c r="E154" s="1171"/>
      <c r="F154" s="1171"/>
      <c r="G154" s="1171"/>
      <c r="H154" s="1171"/>
      <c r="I154" s="1171"/>
      <c r="J154" s="1171"/>
      <c r="K154" s="1171"/>
      <c r="L154" s="1171"/>
      <c r="M154" s="1171"/>
      <c r="N154" s="1171"/>
      <c r="O154" s="1171"/>
      <c r="P154" s="1171"/>
    </row>
    <row r="155" spans="1:16">
      <c r="A155" s="1171"/>
      <c r="B155" s="1171"/>
      <c r="C155" s="1171"/>
      <c r="D155" s="1171"/>
      <c r="E155" s="1171"/>
      <c r="F155" s="1171"/>
      <c r="G155" s="1171"/>
      <c r="H155" s="1171"/>
      <c r="I155" s="1171"/>
      <c r="J155" s="1171"/>
      <c r="K155" s="1171"/>
      <c r="L155" s="1171"/>
      <c r="M155" s="1171"/>
      <c r="N155" s="1171"/>
      <c r="O155" s="1171"/>
      <c r="P155" s="1171"/>
    </row>
    <row r="156" spans="1:16">
      <c r="A156" s="1171"/>
      <c r="B156" s="1171"/>
      <c r="C156" s="1171"/>
      <c r="D156" s="1171"/>
      <c r="E156" s="1171"/>
      <c r="F156" s="1171"/>
      <c r="G156" s="1171"/>
      <c r="H156" s="1171"/>
      <c r="I156" s="1171"/>
      <c r="J156" s="1171"/>
      <c r="K156" s="1171"/>
      <c r="L156" s="1171"/>
      <c r="M156" s="1171"/>
      <c r="N156" s="1171"/>
      <c r="O156" s="1171"/>
      <c r="P156" s="1171"/>
    </row>
    <row r="157" spans="1:16">
      <c r="A157" s="1171"/>
      <c r="B157" s="1171"/>
      <c r="C157" s="1171"/>
      <c r="D157" s="1171"/>
      <c r="E157" s="1171"/>
      <c r="F157" s="1171"/>
      <c r="G157" s="1171"/>
      <c r="H157" s="1171"/>
      <c r="I157" s="1171"/>
      <c r="J157" s="1171"/>
      <c r="K157" s="1171"/>
      <c r="L157" s="1171"/>
      <c r="M157" s="1171"/>
      <c r="N157" s="1171"/>
      <c r="O157" s="1171"/>
      <c r="P157" s="1171"/>
    </row>
    <row r="158" spans="1:16">
      <c r="A158" s="1171"/>
      <c r="B158" s="1171"/>
      <c r="C158" s="1171"/>
      <c r="D158" s="1171"/>
      <c r="E158" s="1171"/>
      <c r="F158" s="1171"/>
      <c r="G158" s="1171"/>
      <c r="H158" s="1171"/>
      <c r="I158" s="1171"/>
      <c r="J158" s="1171"/>
      <c r="K158" s="1171"/>
      <c r="L158" s="1171"/>
      <c r="M158" s="1171"/>
      <c r="N158" s="1171"/>
      <c r="O158" s="1171"/>
      <c r="P158" s="1171"/>
    </row>
    <row r="159" spans="1:16">
      <c r="A159" s="1171"/>
      <c r="B159" s="1171"/>
      <c r="C159" s="1171"/>
      <c r="D159" s="1171"/>
      <c r="E159" s="1171"/>
      <c r="F159" s="1171"/>
      <c r="G159" s="1171"/>
      <c r="H159" s="1171"/>
      <c r="I159" s="1171"/>
      <c r="J159" s="1171"/>
      <c r="K159" s="1171"/>
      <c r="L159" s="1171"/>
      <c r="M159" s="1171"/>
      <c r="N159" s="1171"/>
      <c r="O159" s="1171"/>
      <c r="P159" s="1171"/>
    </row>
    <row r="160" spans="1:16">
      <c r="A160" s="1171"/>
      <c r="B160" s="1171"/>
      <c r="C160" s="1171"/>
      <c r="D160" s="1171"/>
      <c r="E160" s="1171"/>
      <c r="F160" s="1171"/>
      <c r="G160" s="1171"/>
      <c r="H160" s="1171"/>
      <c r="I160" s="1171"/>
      <c r="J160" s="1171"/>
      <c r="K160" s="1171"/>
      <c r="L160" s="1171"/>
      <c r="M160" s="1171"/>
      <c r="N160" s="1171"/>
      <c r="O160" s="1171"/>
      <c r="P160" s="1171"/>
    </row>
    <row r="161" spans="1:16">
      <c r="A161" s="1171"/>
      <c r="B161" s="1171"/>
      <c r="C161" s="1171"/>
      <c r="D161" s="1171"/>
      <c r="E161" s="1171"/>
      <c r="F161" s="1171"/>
      <c r="G161" s="1171"/>
      <c r="H161" s="1171"/>
      <c r="I161" s="1171"/>
      <c r="J161" s="1171"/>
      <c r="K161" s="1171"/>
      <c r="L161" s="1171"/>
      <c r="M161" s="1171"/>
      <c r="N161" s="1171"/>
      <c r="O161" s="1171"/>
      <c r="P161" s="1171"/>
    </row>
    <row r="162" spans="1:16">
      <c r="A162" s="1171"/>
      <c r="B162" s="1171"/>
      <c r="C162" s="1171"/>
      <c r="D162" s="1171"/>
      <c r="E162" s="1171"/>
      <c r="F162" s="1171"/>
      <c r="G162" s="1171"/>
      <c r="H162" s="1171"/>
      <c r="I162" s="1171"/>
      <c r="J162" s="1171"/>
      <c r="K162" s="1171"/>
      <c r="L162" s="1171"/>
      <c r="M162" s="1171"/>
      <c r="N162" s="1171"/>
      <c r="O162" s="1171"/>
      <c r="P162" s="1171"/>
    </row>
    <row r="163" spans="1:16">
      <c r="A163" s="1171"/>
      <c r="B163" s="1171"/>
      <c r="C163" s="1171"/>
      <c r="D163" s="1171"/>
      <c r="E163" s="1171"/>
      <c r="F163" s="1171"/>
      <c r="G163" s="1171"/>
      <c r="H163" s="1171"/>
      <c r="I163" s="1171"/>
      <c r="J163" s="1171"/>
      <c r="K163" s="1171"/>
      <c r="L163" s="1171"/>
      <c r="M163" s="1171"/>
      <c r="N163" s="1171"/>
      <c r="O163" s="1171"/>
      <c r="P163" s="1171"/>
    </row>
    <row r="164" spans="1:16">
      <c r="A164" s="1171"/>
      <c r="B164" s="1171"/>
      <c r="C164" s="1171"/>
      <c r="D164" s="1171"/>
      <c r="E164" s="1171"/>
      <c r="F164" s="1171"/>
      <c r="G164" s="1171"/>
      <c r="H164" s="1171"/>
      <c r="I164" s="1171"/>
      <c r="J164" s="1171"/>
      <c r="K164" s="1171"/>
      <c r="L164" s="1171"/>
      <c r="M164" s="1171"/>
      <c r="N164" s="1171"/>
      <c r="O164" s="1171"/>
      <c r="P164" s="1171"/>
    </row>
    <row r="165" spans="1:16">
      <c r="A165" s="1171"/>
      <c r="B165" s="1171"/>
      <c r="C165" s="1171"/>
      <c r="D165" s="1171"/>
      <c r="E165" s="1171"/>
      <c r="F165" s="1171"/>
      <c r="G165" s="1171"/>
      <c r="H165" s="1171"/>
      <c r="I165" s="1171"/>
      <c r="J165" s="1171"/>
      <c r="K165" s="1171"/>
      <c r="L165" s="1171"/>
      <c r="M165" s="1171"/>
      <c r="N165" s="1171"/>
      <c r="O165" s="1171"/>
      <c r="P165" s="1171"/>
    </row>
    <row r="166" spans="1:16">
      <c r="A166" s="1171"/>
      <c r="B166" s="1171"/>
      <c r="C166" s="1171"/>
      <c r="D166" s="1171"/>
      <c r="E166" s="1171"/>
      <c r="F166" s="1171"/>
      <c r="G166" s="1171"/>
      <c r="H166" s="1171"/>
      <c r="I166" s="1171"/>
      <c r="J166" s="1171"/>
      <c r="K166" s="1171"/>
      <c r="L166" s="1171"/>
      <c r="M166" s="1171"/>
      <c r="N166" s="1171"/>
      <c r="O166" s="1171"/>
      <c r="P166" s="1171"/>
    </row>
    <row r="167" spans="1:16">
      <c r="A167" s="1171"/>
      <c r="B167" s="1171"/>
      <c r="C167" s="1171"/>
      <c r="D167" s="1171"/>
      <c r="E167" s="1171"/>
      <c r="F167" s="1171"/>
      <c r="G167" s="1171"/>
      <c r="H167" s="1171"/>
      <c r="I167" s="1171"/>
      <c r="J167" s="1171"/>
      <c r="K167" s="1171"/>
      <c r="L167" s="1171"/>
      <c r="M167" s="1171"/>
      <c r="N167" s="1171"/>
      <c r="O167" s="1171"/>
      <c r="P167" s="1171"/>
    </row>
    <row r="168" spans="1:16">
      <c r="A168" s="1171"/>
      <c r="B168" s="1171"/>
      <c r="C168" s="1171"/>
      <c r="D168" s="1171"/>
      <c r="E168" s="1171"/>
      <c r="F168" s="1171"/>
      <c r="G168" s="1171"/>
      <c r="H168" s="1171"/>
      <c r="I168" s="1171"/>
      <c r="J168" s="1171"/>
      <c r="K168" s="1171"/>
      <c r="L168" s="1171"/>
      <c r="M168" s="1171"/>
      <c r="N168" s="1171"/>
      <c r="O168" s="1171"/>
      <c r="P168" s="1171"/>
    </row>
    <row r="169" spans="1:16">
      <c r="A169" s="1171"/>
      <c r="B169" s="1171"/>
      <c r="C169" s="1171"/>
      <c r="D169" s="1171"/>
      <c r="E169" s="1171"/>
      <c r="F169" s="1171"/>
      <c r="G169" s="1171"/>
      <c r="H169" s="1171"/>
      <c r="I169" s="1171"/>
      <c r="J169" s="1171"/>
      <c r="K169" s="1171"/>
      <c r="L169" s="1171"/>
      <c r="M169" s="1171"/>
      <c r="N169" s="1171"/>
      <c r="O169" s="1171"/>
      <c r="P169" s="1171"/>
    </row>
    <row r="170" spans="1:16">
      <c r="A170" s="1171"/>
      <c r="B170" s="1171"/>
      <c r="C170" s="1171"/>
      <c r="D170" s="1171"/>
      <c r="E170" s="1171"/>
      <c r="F170" s="1171"/>
      <c r="G170" s="1171"/>
      <c r="H170" s="1171"/>
      <c r="I170" s="1171"/>
      <c r="J170" s="1171"/>
      <c r="K170" s="1171"/>
      <c r="L170" s="1171"/>
      <c r="M170" s="1171"/>
      <c r="N170" s="1171"/>
      <c r="O170" s="1171"/>
      <c r="P170" s="1171"/>
    </row>
    <row r="171" spans="1:16">
      <c r="A171" s="1171"/>
      <c r="B171" s="1171"/>
      <c r="C171" s="1171"/>
      <c r="D171" s="1171"/>
      <c r="E171" s="1171"/>
      <c r="F171" s="1171"/>
      <c r="G171" s="1171"/>
      <c r="H171" s="1171"/>
      <c r="I171" s="1171"/>
      <c r="J171" s="1171"/>
      <c r="K171" s="1171"/>
      <c r="L171" s="1171"/>
      <c r="M171" s="1171"/>
      <c r="N171" s="1171"/>
      <c r="O171" s="1171"/>
      <c r="P171" s="1171"/>
    </row>
    <row r="172" spans="1:16">
      <c r="A172" s="1171"/>
      <c r="B172" s="1171"/>
      <c r="C172" s="1171"/>
      <c r="D172" s="1171"/>
      <c r="E172" s="1171"/>
      <c r="F172" s="1171"/>
      <c r="G172" s="1171"/>
      <c r="H172" s="1171"/>
      <c r="I172" s="1171"/>
      <c r="J172" s="1171"/>
      <c r="K172" s="1171"/>
      <c r="L172" s="1171"/>
      <c r="M172" s="1171"/>
      <c r="N172" s="1171"/>
      <c r="O172" s="1171"/>
      <c r="P172" s="1171"/>
    </row>
    <row r="173" spans="1:16">
      <c r="A173" s="1171"/>
      <c r="B173" s="1171"/>
      <c r="C173" s="1171"/>
      <c r="D173" s="1171"/>
      <c r="E173" s="1171"/>
      <c r="F173" s="1171"/>
      <c r="G173" s="1171"/>
      <c r="H173" s="1171"/>
      <c r="I173" s="1171"/>
      <c r="J173" s="1171"/>
      <c r="K173" s="1171"/>
      <c r="L173" s="1171"/>
      <c r="M173" s="1171"/>
      <c r="N173" s="1171"/>
      <c r="O173" s="1171"/>
      <c r="P173" s="1171"/>
    </row>
    <row r="174" spans="1:16">
      <c r="A174" s="1171"/>
      <c r="B174" s="1171"/>
      <c r="C174" s="1171"/>
      <c r="D174" s="1171"/>
      <c r="E174" s="1171"/>
      <c r="F174" s="1171"/>
      <c r="G174" s="1171"/>
      <c r="H174" s="1171"/>
      <c r="I174" s="1171"/>
      <c r="J174" s="1171"/>
      <c r="K174" s="1171"/>
      <c r="L174" s="1171"/>
      <c r="M174" s="1171"/>
      <c r="N174" s="1171"/>
      <c r="O174" s="1171"/>
      <c r="P174" s="1171"/>
    </row>
  </sheetData>
  <pageMargins left="0.7" right="0.7" top="0.75" bottom="0.75" header="0.3" footer="0.3"/>
  <pageSetup scale="6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T77"/>
  <sheetViews>
    <sheetView topLeftCell="D1" workbookViewId="0">
      <selection activeCell="F6" sqref="F6:F33"/>
    </sheetView>
  </sheetViews>
  <sheetFormatPr defaultRowHeight="15"/>
  <cols>
    <col min="1" max="1" width="12.7109375" customWidth="1"/>
    <col min="2" max="3" width="17.28515625" customWidth="1"/>
    <col min="4" max="4" width="56.28515625" bestFit="1" customWidth="1"/>
    <col min="5" max="5" width="30.42578125" bestFit="1" customWidth="1"/>
    <col min="6" max="18" width="16.5703125" customWidth="1"/>
    <col min="19" max="19" width="14" bestFit="1" customWidth="1"/>
    <col min="20" max="20" width="20.28515625" bestFit="1" customWidth="1"/>
  </cols>
  <sheetData>
    <row r="1" spans="1:20" ht="15.75">
      <c r="A1" s="1179" t="s">
        <v>2</v>
      </c>
      <c r="B1" s="1179"/>
      <c r="C1" s="1179"/>
      <c r="D1" s="1180"/>
      <c r="E1" s="1180"/>
      <c r="F1" s="1180"/>
      <c r="G1" s="1180"/>
      <c r="H1" s="1180"/>
      <c r="I1" s="1180"/>
      <c r="J1" s="1180"/>
      <c r="K1" s="1181"/>
      <c r="L1" s="1181"/>
      <c r="M1" s="1182"/>
      <c r="N1" s="1183"/>
      <c r="O1" s="1182"/>
      <c r="P1" s="1182"/>
      <c r="Q1" s="1182"/>
      <c r="R1" s="1182"/>
      <c r="S1" s="1184"/>
      <c r="T1" s="1184"/>
    </row>
    <row r="2" spans="1:20" ht="15.75">
      <c r="A2" s="1179" t="s">
        <v>1222</v>
      </c>
      <c r="B2" s="1179"/>
      <c r="C2" s="1179"/>
      <c r="D2" s="1180"/>
      <c r="E2" s="1180"/>
      <c r="F2" s="1180"/>
      <c r="G2" s="1180"/>
      <c r="H2" s="1180"/>
      <c r="I2" s="1180"/>
      <c r="J2" s="1180"/>
      <c r="K2" s="1182"/>
      <c r="L2" s="1182"/>
      <c r="M2" s="1182"/>
      <c r="N2" s="1183"/>
      <c r="O2" s="1182"/>
      <c r="P2" s="1182"/>
      <c r="Q2" s="1182"/>
      <c r="R2" s="1182"/>
      <c r="S2" s="1184"/>
      <c r="T2" s="1184"/>
    </row>
    <row r="3" spans="1:20" ht="15.75" thickBot="1">
      <c r="A3" s="1185"/>
      <c r="B3" s="1186"/>
      <c r="C3" s="1186"/>
      <c r="D3" s="1186"/>
      <c r="E3" s="1186"/>
      <c r="F3" s="1186"/>
      <c r="G3" s="1186"/>
      <c r="H3" s="1187"/>
      <c r="I3" s="1187"/>
      <c r="J3" s="1182"/>
      <c r="K3" s="1182"/>
      <c r="L3" s="1182"/>
      <c r="M3" s="1182"/>
      <c r="N3" s="1183"/>
      <c r="O3" s="1182"/>
      <c r="P3" s="1182"/>
      <c r="Q3" s="1182"/>
      <c r="R3" s="1182"/>
      <c r="S3" s="1184"/>
      <c r="T3" s="1184"/>
    </row>
    <row r="4" spans="1:20" ht="27" thickBot="1">
      <c r="A4" s="1184"/>
      <c r="B4" s="1184"/>
      <c r="C4" s="1184"/>
      <c r="D4" s="1188"/>
      <c r="E4" s="1184"/>
      <c r="F4" s="1189" t="s">
        <v>1223</v>
      </c>
      <c r="G4" s="1190" t="s">
        <v>1224</v>
      </c>
      <c r="H4" s="1191"/>
      <c r="I4" s="1192"/>
      <c r="J4" s="1192"/>
      <c r="K4" s="1191"/>
      <c r="L4" s="1192"/>
      <c r="M4" s="1192"/>
      <c r="N4" s="1193"/>
      <c r="O4" s="1192"/>
      <c r="P4" s="1192"/>
      <c r="Q4" s="1192"/>
      <c r="R4" s="1194"/>
      <c r="S4" s="1184"/>
      <c r="T4" s="1184"/>
    </row>
    <row r="5" spans="1:20" ht="78" thickBot="1">
      <c r="A5" s="1195" t="s">
        <v>1225</v>
      </c>
      <c r="B5" s="1196" t="s">
        <v>1226</v>
      </c>
      <c r="C5" s="1196" t="s">
        <v>1227</v>
      </c>
      <c r="D5" s="1197" t="s">
        <v>1228</v>
      </c>
      <c r="E5" s="1198" t="s">
        <v>307</v>
      </c>
      <c r="F5" s="1824" t="s">
        <v>791</v>
      </c>
      <c r="G5" s="1852" t="s">
        <v>792</v>
      </c>
      <c r="H5" s="1853" t="s">
        <v>794</v>
      </c>
      <c r="I5" s="1853" t="s">
        <v>795</v>
      </c>
      <c r="J5" s="1853" t="s">
        <v>796</v>
      </c>
      <c r="K5" s="1853" t="s">
        <v>797</v>
      </c>
      <c r="L5" s="1853" t="s">
        <v>930</v>
      </c>
      <c r="M5" s="1853" t="s">
        <v>799</v>
      </c>
      <c r="N5" s="1853" t="s">
        <v>800</v>
      </c>
      <c r="O5" s="1853" t="s">
        <v>801</v>
      </c>
      <c r="P5" s="1853" t="s">
        <v>806</v>
      </c>
      <c r="Q5" s="1853" t="s">
        <v>803</v>
      </c>
      <c r="R5" s="1854" t="s">
        <v>791</v>
      </c>
      <c r="S5" s="1184"/>
      <c r="T5" s="1184"/>
    </row>
    <row r="6" spans="1:20">
      <c r="A6" s="1199">
        <v>86</v>
      </c>
      <c r="B6" s="1200" t="s">
        <v>1229</v>
      </c>
      <c r="C6" s="1200">
        <f>AVERAGE(F6:R6)</f>
        <v>13681003846.153847</v>
      </c>
      <c r="D6" s="1201" t="s">
        <v>1230</v>
      </c>
      <c r="E6" s="1202" t="s">
        <v>1231</v>
      </c>
      <c r="F6" s="1500">
        <v>10493150000</v>
      </c>
      <c r="G6" s="1878">
        <v>14293150000</v>
      </c>
      <c r="H6" s="1855">
        <v>14293150000</v>
      </c>
      <c r="I6" s="1855">
        <v>14293150000</v>
      </c>
      <c r="J6" s="1855">
        <v>13868150000</v>
      </c>
      <c r="K6" s="1855">
        <v>13868150000</v>
      </c>
      <c r="L6" s="1855">
        <v>13868150000</v>
      </c>
      <c r="M6" s="1855">
        <v>13868150000</v>
      </c>
      <c r="N6" s="1855">
        <v>13868150000</v>
      </c>
      <c r="O6" s="1855">
        <v>13868150000</v>
      </c>
      <c r="P6" s="1855">
        <v>13868150000</v>
      </c>
      <c r="Q6" s="1855">
        <v>13701700000</v>
      </c>
      <c r="R6" s="1856">
        <v>13701700000</v>
      </c>
      <c r="S6" s="1184"/>
      <c r="T6" s="1184"/>
    </row>
    <row r="7" spans="1:20">
      <c r="A7" s="1203">
        <v>87</v>
      </c>
      <c r="B7" s="1204" t="s">
        <v>1229</v>
      </c>
      <c r="C7" s="1204">
        <f t="shared" ref="C7:C14" si="0">AVERAGE(F7:R7)</f>
        <v>0</v>
      </c>
      <c r="D7" s="1205" t="s">
        <v>1232</v>
      </c>
      <c r="E7" s="1206" t="s">
        <v>1233</v>
      </c>
      <c r="F7" s="1501">
        <v>0</v>
      </c>
      <c r="G7" s="1879">
        <v>0</v>
      </c>
      <c r="H7" s="1502">
        <v>0</v>
      </c>
      <c r="I7" s="1502">
        <v>0</v>
      </c>
      <c r="J7" s="1502">
        <v>0</v>
      </c>
      <c r="K7" s="1502">
        <v>0</v>
      </c>
      <c r="L7" s="1502">
        <v>0</v>
      </c>
      <c r="M7" s="1502">
        <v>0</v>
      </c>
      <c r="N7" s="1502">
        <v>0</v>
      </c>
      <c r="O7" s="1502">
        <v>0</v>
      </c>
      <c r="P7" s="1502">
        <v>0</v>
      </c>
      <c r="Q7" s="1502">
        <v>0</v>
      </c>
      <c r="R7" s="1503">
        <v>0</v>
      </c>
      <c r="S7" s="1184"/>
      <c r="T7" s="1184"/>
    </row>
    <row r="8" spans="1:20">
      <c r="A8" s="1203">
        <v>88</v>
      </c>
      <c r="B8" s="1204" t="s">
        <v>1229</v>
      </c>
      <c r="C8" s="1204">
        <f t="shared" si="0"/>
        <v>0</v>
      </c>
      <c r="D8" s="1205" t="s">
        <v>1234</v>
      </c>
      <c r="E8" s="1206" t="s">
        <v>1235</v>
      </c>
      <c r="F8" s="1501">
        <v>0</v>
      </c>
      <c r="G8" s="1879">
        <v>0</v>
      </c>
      <c r="H8" s="1502">
        <v>0</v>
      </c>
      <c r="I8" s="1502">
        <v>0</v>
      </c>
      <c r="J8" s="1502">
        <v>0</v>
      </c>
      <c r="K8" s="1502">
        <v>0</v>
      </c>
      <c r="L8" s="1502">
        <v>0</v>
      </c>
      <c r="M8" s="1502">
        <v>0</v>
      </c>
      <c r="N8" s="1502">
        <v>0</v>
      </c>
      <c r="O8" s="1502">
        <v>0</v>
      </c>
      <c r="P8" s="1502">
        <v>0</v>
      </c>
      <c r="Q8" s="1502">
        <v>0</v>
      </c>
      <c r="R8" s="1503">
        <v>0</v>
      </c>
      <c r="S8" s="1184"/>
      <c r="T8" s="1184"/>
    </row>
    <row r="9" spans="1:20">
      <c r="A9" s="1203">
        <v>89</v>
      </c>
      <c r="B9" s="1204" t="s">
        <v>1229</v>
      </c>
      <c r="C9" s="1204">
        <f t="shared" si="0"/>
        <v>0</v>
      </c>
      <c r="D9" s="1205" t="s">
        <v>1236</v>
      </c>
      <c r="E9" s="1206" t="s">
        <v>1237</v>
      </c>
      <c r="F9" s="1501">
        <v>0</v>
      </c>
      <c r="G9" s="1879">
        <v>0</v>
      </c>
      <c r="H9" s="1502">
        <v>0</v>
      </c>
      <c r="I9" s="1502">
        <v>0</v>
      </c>
      <c r="J9" s="1502">
        <v>0</v>
      </c>
      <c r="K9" s="1502">
        <v>0</v>
      </c>
      <c r="L9" s="1502">
        <v>0</v>
      </c>
      <c r="M9" s="1502">
        <v>0</v>
      </c>
      <c r="N9" s="1502">
        <v>0</v>
      </c>
      <c r="O9" s="1502">
        <v>0</v>
      </c>
      <c r="P9" s="1502">
        <v>0</v>
      </c>
      <c r="Q9" s="1502">
        <v>0</v>
      </c>
      <c r="R9" s="1503">
        <v>0</v>
      </c>
      <c r="S9" s="1184"/>
      <c r="T9" s="1184"/>
    </row>
    <row r="10" spans="1:20">
      <c r="A10" s="1203">
        <v>91</v>
      </c>
      <c r="B10" s="1204" t="s">
        <v>1229</v>
      </c>
      <c r="C10" s="1204">
        <f t="shared" si="0"/>
        <v>36094874.58461538</v>
      </c>
      <c r="D10" s="1205" t="s">
        <v>1238</v>
      </c>
      <c r="E10" s="1206" t="s">
        <v>1239</v>
      </c>
      <c r="F10" s="1501">
        <v>25686564.559999999</v>
      </c>
      <c r="G10" s="1879">
        <v>37870138.670000002</v>
      </c>
      <c r="H10" s="1502">
        <v>37703712.770000003</v>
      </c>
      <c r="I10" s="1502">
        <v>37537286.880000003</v>
      </c>
      <c r="J10" s="1502">
        <v>37372844.32</v>
      </c>
      <c r="K10" s="1502">
        <v>37208401.759999998</v>
      </c>
      <c r="L10" s="1502">
        <v>37043959.200000003</v>
      </c>
      <c r="M10" s="1502">
        <v>36879516.640000001</v>
      </c>
      <c r="N10" s="1502">
        <v>36715074.079999998</v>
      </c>
      <c r="O10" s="1502">
        <v>36550631.520000003</v>
      </c>
      <c r="P10" s="1502">
        <v>36386188.960000001</v>
      </c>
      <c r="Q10" s="1502">
        <v>36221746.399999999</v>
      </c>
      <c r="R10" s="1503">
        <v>36057303.840000004</v>
      </c>
      <c r="S10" s="1184"/>
      <c r="T10" s="1184"/>
    </row>
    <row r="11" spans="1:20">
      <c r="A11" s="1203">
        <v>92</v>
      </c>
      <c r="B11" s="1204" t="s">
        <v>1229</v>
      </c>
      <c r="C11" s="1204">
        <f t="shared" si="0"/>
        <v>78055909.230769232</v>
      </c>
      <c r="D11" s="1207" t="s">
        <v>1240</v>
      </c>
      <c r="E11" s="1184" t="s">
        <v>1241</v>
      </c>
      <c r="F11" s="1501">
        <v>57531238.740000002</v>
      </c>
      <c r="G11" s="1879">
        <v>80361740.25</v>
      </c>
      <c r="H11" s="1502">
        <v>80066975.219999999</v>
      </c>
      <c r="I11" s="1502">
        <v>79712364.129999995</v>
      </c>
      <c r="J11" s="1502">
        <v>79453485.030000001</v>
      </c>
      <c r="K11" s="1502">
        <v>81200286.049999997</v>
      </c>
      <c r="L11" s="1502">
        <v>80759587.140000001</v>
      </c>
      <c r="M11" s="1502">
        <v>80318888.159999996</v>
      </c>
      <c r="N11" s="1502">
        <v>79938345.75</v>
      </c>
      <c r="O11" s="1502">
        <v>79497478.269999996</v>
      </c>
      <c r="P11" s="1502">
        <v>79057338.530000001</v>
      </c>
      <c r="Q11" s="1502">
        <v>78628810.409999996</v>
      </c>
      <c r="R11" s="1503">
        <v>78200282.319999993</v>
      </c>
      <c r="S11" s="1184"/>
      <c r="T11" s="1184"/>
    </row>
    <row r="12" spans="1:20">
      <c r="A12" s="1203">
        <v>93</v>
      </c>
      <c r="B12" s="1204" t="s">
        <v>1229</v>
      </c>
      <c r="C12" s="1204">
        <f t="shared" si="0"/>
        <v>1829740.3984615388</v>
      </c>
      <c r="D12" s="1208" t="s">
        <v>1242</v>
      </c>
      <c r="E12" s="1184" t="s">
        <v>1243</v>
      </c>
      <c r="F12" s="1501">
        <v>1997811.36</v>
      </c>
      <c r="G12" s="1879">
        <v>1969521.58</v>
      </c>
      <c r="H12" s="1502">
        <v>1941231.87</v>
      </c>
      <c r="I12" s="1502">
        <v>1912942.09</v>
      </c>
      <c r="J12" s="1502">
        <v>1884652.38</v>
      </c>
      <c r="K12" s="1502">
        <v>1856362.6</v>
      </c>
      <c r="L12" s="1502">
        <v>1828072.89</v>
      </c>
      <c r="M12" s="1502">
        <v>1799783.11</v>
      </c>
      <c r="N12" s="1502">
        <v>1771493.4</v>
      </c>
      <c r="O12" s="1502">
        <v>1743203.62</v>
      </c>
      <c r="P12" s="1502">
        <v>1714913.91</v>
      </c>
      <c r="Q12" s="1502">
        <v>1693850.1</v>
      </c>
      <c r="R12" s="1503">
        <v>1672786.27</v>
      </c>
      <c r="S12" s="1184"/>
      <c r="T12" s="1184"/>
    </row>
    <row r="13" spans="1:20">
      <c r="A13" s="1203">
        <v>94</v>
      </c>
      <c r="B13" s="1204" t="s">
        <v>1229</v>
      </c>
      <c r="C13" s="1204">
        <f t="shared" si="0"/>
        <v>0</v>
      </c>
      <c r="D13" s="1205" t="s">
        <v>1244</v>
      </c>
      <c r="E13" s="1184" t="s">
        <v>1245</v>
      </c>
      <c r="F13" s="1501">
        <v>0</v>
      </c>
      <c r="G13" s="1879">
        <v>0</v>
      </c>
      <c r="H13" s="1502">
        <v>0</v>
      </c>
      <c r="I13" s="1502">
        <v>0</v>
      </c>
      <c r="J13" s="1502">
        <v>0</v>
      </c>
      <c r="K13" s="1502">
        <v>0</v>
      </c>
      <c r="L13" s="1502">
        <v>0</v>
      </c>
      <c r="M13" s="1502">
        <v>0</v>
      </c>
      <c r="N13" s="1502">
        <v>0</v>
      </c>
      <c r="O13" s="1502">
        <v>0</v>
      </c>
      <c r="P13" s="1502">
        <v>0</v>
      </c>
      <c r="Q13" s="1502">
        <v>0</v>
      </c>
      <c r="R13" s="1503">
        <v>0</v>
      </c>
      <c r="S13" s="1184"/>
      <c r="T13" s="1184"/>
    </row>
    <row r="14" spans="1:20">
      <c r="A14" s="1203">
        <v>95</v>
      </c>
      <c r="B14" s="1204" t="s">
        <v>1229</v>
      </c>
      <c r="C14" s="1204">
        <f t="shared" si="0"/>
        <v>0</v>
      </c>
      <c r="D14" s="1208" t="s">
        <v>1246</v>
      </c>
      <c r="E14" s="1184" t="s">
        <v>1247</v>
      </c>
      <c r="F14" s="1501">
        <v>0</v>
      </c>
      <c r="G14" s="1879">
        <v>0</v>
      </c>
      <c r="H14" s="1502">
        <v>0</v>
      </c>
      <c r="I14" s="1502">
        <v>0</v>
      </c>
      <c r="J14" s="1502">
        <v>0</v>
      </c>
      <c r="K14" s="1502">
        <v>0</v>
      </c>
      <c r="L14" s="1502">
        <v>0</v>
      </c>
      <c r="M14" s="1502">
        <v>0</v>
      </c>
      <c r="N14" s="1502">
        <v>0</v>
      </c>
      <c r="O14" s="1502">
        <v>0</v>
      </c>
      <c r="P14" s="1502">
        <v>0</v>
      </c>
      <c r="Q14" s="1502">
        <v>0</v>
      </c>
      <c r="R14" s="1503">
        <v>0</v>
      </c>
      <c r="S14" s="1184"/>
      <c r="T14" s="1209"/>
    </row>
    <row r="15" spans="1:20" ht="26.25">
      <c r="A15" s="1203">
        <v>97</v>
      </c>
      <c r="B15" s="1204" t="s">
        <v>1248</v>
      </c>
      <c r="C15" s="1204">
        <f>SUM(G15:R15)</f>
        <v>696924772.85000002</v>
      </c>
      <c r="D15" s="1210" t="s">
        <v>1249</v>
      </c>
      <c r="E15" s="1211" t="s">
        <v>2035</v>
      </c>
      <c r="F15" s="1501">
        <v>42071306.090000004</v>
      </c>
      <c r="G15" s="1879">
        <v>59363757.189999998</v>
      </c>
      <c r="H15" s="1502">
        <v>59300291.460000001</v>
      </c>
      <c r="I15" s="1502">
        <v>57019723.740000002</v>
      </c>
      <c r="J15" s="1502">
        <v>58110002.859999999</v>
      </c>
      <c r="K15" s="1502">
        <v>58097311.859999999</v>
      </c>
      <c r="L15" s="1502">
        <v>58059163.560000002</v>
      </c>
      <c r="M15" s="1502">
        <v>57987112.93</v>
      </c>
      <c r="N15" s="1502">
        <v>58059361.740000002</v>
      </c>
      <c r="O15" s="1502">
        <v>58029147.609999999</v>
      </c>
      <c r="P15" s="1502">
        <v>58033324.009999998</v>
      </c>
      <c r="Q15" s="1502">
        <v>57464378.859999999</v>
      </c>
      <c r="R15" s="1503">
        <v>57401197.030000001</v>
      </c>
      <c r="S15" s="1184"/>
      <c r="T15" s="1184"/>
    </row>
    <row r="16" spans="1:20">
      <c r="A16" s="1203">
        <v>98</v>
      </c>
      <c r="B16" s="1204" t="s">
        <v>1248</v>
      </c>
      <c r="C16" s="1204">
        <f t="shared" ref="C16:C20" si="1">SUM(G16:R16)</f>
        <v>0</v>
      </c>
      <c r="D16" s="1205" t="s">
        <v>1250</v>
      </c>
      <c r="E16" s="1206" t="s">
        <v>1251</v>
      </c>
      <c r="F16" s="1501">
        <v>0</v>
      </c>
      <c r="G16" s="1879">
        <v>0</v>
      </c>
      <c r="H16" s="1502">
        <v>0</v>
      </c>
      <c r="I16" s="1502">
        <v>0</v>
      </c>
      <c r="J16" s="1502">
        <v>0</v>
      </c>
      <c r="K16" s="1502">
        <v>0</v>
      </c>
      <c r="L16" s="1502">
        <v>0</v>
      </c>
      <c r="M16" s="1502">
        <v>0</v>
      </c>
      <c r="N16" s="1502">
        <v>0</v>
      </c>
      <c r="O16" s="1502">
        <v>0</v>
      </c>
      <c r="P16" s="1502">
        <v>0</v>
      </c>
      <c r="Q16" s="1502">
        <v>0</v>
      </c>
      <c r="R16" s="1503">
        <v>0</v>
      </c>
      <c r="S16" s="1184"/>
      <c r="T16" s="1184"/>
    </row>
    <row r="17" spans="1:20">
      <c r="A17" s="1203">
        <v>99</v>
      </c>
      <c r="B17" s="1204" t="s">
        <v>1248</v>
      </c>
      <c r="C17" s="1204">
        <f t="shared" si="1"/>
        <v>7245224.6200000001</v>
      </c>
      <c r="D17" s="1207" t="s">
        <v>1252</v>
      </c>
      <c r="E17" s="1206" t="s">
        <v>1253</v>
      </c>
      <c r="F17" s="1501">
        <v>404852.12</v>
      </c>
      <c r="G17" s="1879">
        <v>612576.12</v>
      </c>
      <c r="H17" s="1502">
        <v>613816.81000000006</v>
      </c>
      <c r="I17" s="1502">
        <v>614171.09</v>
      </c>
      <c r="J17" s="1502">
        <v>587358.41</v>
      </c>
      <c r="K17" s="1502">
        <v>605141.54</v>
      </c>
      <c r="L17" s="1502">
        <v>605141.47</v>
      </c>
      <c r="M17" s="1502">
        <v>605141.54</v>
      </c>
      <c r="N17" s="1502">
        <v>605309.97</v>
      </c>
      <c r="O17" s="1502">
        <v>605310.04</v>
      </c>
      <c r="P17" s="1502">
        <v>605316.30000000005</v>
      </c>
      <c r="Q17" s="1502">
        <v>592970.68000000005</v>
      </c>
      <c r="R17" s="1503">
        <v>592970.65</v>
      </c>
      <c r="S17" s="1184"/>
      <c r="T17" s="1212"/>
    </row>
    <row r="18" spans="1:20">
      <c r="A18" s="1203">
        <v>100</v>
      </c>
      <c r="B18" s="1204" t="s">
        <v>1248</v>
      </c>
      <c r="C18" s="1204">
        <f t="shared" si="1"/>
        <v>325025.08999999997</v>
      </c>
      <c r="D18" s="1207" t="s">
        <v>1254</v>
      </c>
      <c r="E18" s="1206" t="s">
        <v>1255</v>
      </c>
      <c r="F18" s="1501">
        <v>28289.71</v>
      </c>
      <c r="G18" s="1879">
        <v>28289.78</v>
      </c>
      <c r="H18" s="1502">
        <v>28289.71</v>
      </c>
      <c r="I18" s="1502">
        <v>28289.78</v>
      </c>
      <c r="J18" s="1502">
        <v>28289.71</v>
      </c>
      <c r="K18" s="1502">
        <v>28289.78</v>
      </c>
      <c r="L18" s="1502">
        <v>28289.71</v>
      </c>
      <c r="M18" s="1502">
        <v>28289.78</v>
      </c>
      <c r="N18" s="1502">
        <v>28289.71</v>
      </c>
      <c r="O18" s="1502">
        <v>28289.78</v>
      </c>
      <c r="P18" s="1502">
        <v>28289.71</v>
      </c>
      <c r="Q18" s="1502">
        <v>21063.81</v>
      </c>
      <c r="R18" s="1503">
        <v>21063.83</v>
      </c>
      <c r="S18" s="1184"/>
      <c r="T18" s="1212"/>
    </row>
    <row r="19" spans="1:20">
      <c r="A19" s="1203">
        <v>101</v>
      </c>
      <c r="B19" s="1204" t="s">
        <v>1248</v>
      </c>
      <c r="C19" s="1204">
        <f t="shared" si="1"/>
        <v>226.51</v>
      </c>
      <c r="D19" s="1207" t="s">
        <v>1256</v>
      </c>
      <c r="E19" s="1206" t="s">
        <v>1257</v>
      </c>
      <c r="F19" s="1501">
        <v>0</v>
      </c>
      <c r="G19" s="1879">
        <v>226.51</v>
      </c>
      <c r="H19" s="1502">
        <v>0</v>
      </c>
      <c r="I19" s="1502">
        <v>0</v>
      </c>
      <c r="J19" s="1502">
        <v>0</v>
      </c>
      <c r="K19" s="1502">
        <v>0</v>
      </c>
      <c r="L19" s="1502">
        <v>0</v>
      </c>
      <c r="M19" s="1502">
        <v>0</v>
      </c>
      <c r="N19" s="1502">
        <v>0</v>
      </c>
      <c r="O19" s="1502">
        <v>0</v>
      </c>
      <c r="P19" s="1502">
        <v>0</v>
      </c>
      <c r="Q19" s="1502">
        <v>0</v>
      </c>
      <c r="R19" s="1503">
        <v>0</v>
      </c>
      <c r="S19" s="1184"/>
      <c r="T19" s="1212"/>
    </row>
    <row r="20" spans="1:20">
      <c r="A20" s="1203">
        <v>102</v>
      </c>
      <c r="B20" s="1204" t="s">
        <v>1248</v>
      </c>
      <c r="C20" s="1204">
        <f t="shared" si="1"/>
        <v>0</v>
      </c>
      <c r="D20" s="1207" t="s">
        <v>1258</v>
      </c>
      <c r="E20" s="1206" t="s">
        <v>1259</v>
      </c>
      <c r="F20" s="1501">
        <v>0</v>
      </c>
      <c r="G20" s="1879">
        <v>0</v>
      </c>
      <c r="H20" s="1502">
        <v>0</v>
      </c>
      <c r="I20" s="1502">
        <v>0</v>
      </c>
      <c r="J20" s="1502">
        <v>0</v>
      </c>
      <c r="K20" s="1502">
        <v>0</v>
      </c>
      <c r="L20" s="1502">
        <v>0</v>
      </c>
      <c r="M20" s="1502">
        <v>0</v>
      </c>
      <c r="N20" s="1502">
        <v>0</v>
      </c>
      <c r="O20" s="1502">
        <v>0</v>
      </c>
      <c r="P20" s="1502">
        <v>0</v>
      </c>
      <c r="Q20" s="1502">
        <v>0</v>
      </c>
      <c r="R20" s="1503">
        <v>0</v>
      </c>
      <c r="S20" s="1184"/>
      <c r="T20" s="1184"/>
    </row>
    <row r="21" spans="1:20">
      <c r="A21" s="1203">
        <v>104</v>
      </c>
      <c r="B21" s="1204" t="s">
        <v>1229</v>
      </c>
      <c r="C21" s="1204">
        <f t="shared" ref="C21:C26" si="2">AVERAGE(F21:R21)</f>
        <v>2397600</v>
      </c>
      <c r="D21" s="1208" t="s">
        <v>1260</v>
      </c>
      <c r="E21" s="1206" t="s">
        <v>1261</v>
      </c>
      <c r="F21" s="1501">
        <v>2397600</v>
      </c>
      <c r="G21" s="1879">
        <v>2397600</v>
      </c>
      <c r="H21" s="1502">
        <v>2397600</v>
      </c>
      <c r="I21" s="1502">
        <v>2397600</v>
      </c>
      <c r="J21" s="1502">
        <v>2397600</v>
      </c>
      <c r="K21" s="1502">
        <v>2397600</v>
      </c>
      <c r="L21" s="1502">
        <v>2397600</v>
      </c>
      <c r="M21" s="1502">
        <v>2397600</v>
      </c>
      <c r="N21" s="1502">
        <v>2397600</v>
      </c>
      <c r="O21" s="1502">
        <v>2397600</v>
      </c>
      <c r="P21" s="1502">
        <v>2397600</v>
      </c>
      <c r="Q21" s="1502">
        <v>2397600</v>
      </c>
      <c r="R21" s="1503">
        <v>2397600</v>
      </c>
      <c r="S21" s="1184"/>
      <c r="T21" s="1184"/>
    </row>
    <row r="22" spans="1:20">
      <c r="A22" s="1203">
        <v>105</v>
      </c>
      <c r="B22" s="1204" t="s">
        <v>1229</v>
      </c>
      <c r="C22" s="1204">
        <f t="shared" si="2"/>
        <v>0</v>
      </c>
      <c r="D22" s="1205" t="s">
        <v>1262</v>
      </c>
      <c r="E22" s="1206" t="s">
        <v>1263</v>
      </c>
      <c r="F22" s="1501">
        <v>0</v>
      </c>
      <c r="G22" s="1879">
        <v>0</v>
      </c>
      <c r="H22" s="1502">
        <v>0</v>
      </c>
      <c r="I22" s="1502">
        <v>0</v>
      </c>
      <c r="J22" s="1502">
        <v>0</v>
      </c>
      <c r="K22" s="1502">
        <v>0</v>
      </c>
      <c r="L22" s="1502">
        <v>0</v>
      </c>
      <c r="M22" s="1502">
        <v>0</v>
      </c>
      <c r="N22" s="1502">
        <v>0</v>
      </c>
      <c r="O22" s="1502">
        <v>0</v>
      </c>
      <c r="P22" s="1502">
        <v>0</v>
      </c>
      <c r="Q22" s="1502">
        <v>0</v>
      </c>
      <c r="R22" s="1503">
        <v>0</v>
      </c>
      <c r="S22" s="1184"/>
      <c r="T22" s="1184"/>
    </row>
    <row r="23" spans="1:20">
      <c r="A23" s="1203">
        <v>106</v>
      </c>
      <c r="B23" s="1204" t="s">
        <v>1229</v>
      </c>
      <c r="C23" s="1204">
        <f t="shared" si="2"/>
        <v>0</v>
      </c>
      <c r="D23" s="1205" t="s">
        <v>1264</v>
      </c>
      <c r="E23" s="1206" t="s">
        <v>1265</v>
      </c>
      <c r="F23" s="1501">
        <v>0</v>
      </c>
      <c r="G23" s="1879">
        <v>0</v>
      </c>
      <c r="H23" s="1502">
        <v>0</v>
      </c>
      <c r="I23" s="1502">
        <v>0</v>
      </c>
      <c r="J23" s="1502">
        <v>0</v>
      </c>
      <c r="K23" s="1502">
        <v>0</v>
      </c>
      <c r="L23" s="1502">
        <v>0</v>
      </c>
      <c r="M23" s="1502">
        <v>0</v>
      </c>
      <c r="N23" s="1502">
        <v>0</v>
      </c>
      <c r="O23" s="1502">
        <v>0</v>
      </c>
      <c r="P23" s="1502">
        <v>0</v>
      </c>
      <c r="Q23" s="1502">
        <v>0</v>
      </c>
      <c r="R23" s="1503">
        <v>0</v>
      </c>
      <c r="S23" s="1184"/>
      <c r="T23" s="1184"/>
    </row>
    <row r="24" spans="1:20">
      <c r="A24" s="1203">
        <v>107</v>
      </c>
      <c r="B24" s="1204" t="s">
        <v>1229</v>
      </c>
      <c r="C24" s="1204">
        <f t="shared" si="2"/>
        <v>0</v>
      </c>
      <c r="D24" s="1208" t="s">
        <v>1266</v>
      </c>
      <c r="E24" s="1206" t="s">
        <v>1267</v>
      </c>
      <c r="F24" s="1501">
        <v>0</v>
      </c>
      <c r="G24" s="1879">
        <v>0</v>
      </c>
      <c r="H24" s="1502">
        <v>0</v>
      </c>
      <c r="I24" s="1502">
        <v>0</v>
      </c>
      <c r="J24" s="1502">
        <v>0</v>
      </c>
      <c r="K24" s="1502">
        <v>0</v>
      </c>
      <c r="L24" s="1502">
        <v>0</v>
      </c>
      <c r="M24" s="1502">
        <v>0</v>
      </c>
      <c r="N24" s="1502">
        <v>0</v>
      </c>
      <c r="O24" s="1502">
        <v>0</v>
      </c>
      <c r="P24" s="1502">
        <v>0</v>
      </c>
      <c r="Q24" s="1502">
        <v>0</v>
      </c>
      <c r="R24" s="1503">
        <v>0</v>
      </c>
      <c r="S24" s="1184"/>
      <c r="T24" s="1184"/>
    </row>
    <row r="25" spans="1:20">
      <c r="A25" s="1203">
        <v>108</v>
      </c>
      <c r="B25" s="1204" t="s">
        <v>1229</v>
      </c>
      <c r="C25" s="1204">
        <f t="shared" si="2"/>
        <v>0</v>
      </c>
      <c r="D25" s="1205" t="s">
        <v>1268</v>
      </c>
      <c r="E25" s="1206" t="s">
        <v>1269</v>
      </c>
      <c r="F25" s="1501">
        <v>0</v>
      </c>
      <c r="G25" s="1879">
        <v>0</v>
      </c>
      <c r="H25" s="1502">
        <v>0</v>
      </c>
      <c r="I25" s="1502">
        <v>0</v>
      </c>
      <c r="J25" s="1502">
        <v>0</v>
      </c>
      <c r="K25" s="1502">
        <v>0</v>
      </c>
      <c r="L25" s="1502">
        <v>0</v>
      </c>
      <c r="M25" s="1502">
        <v>0</v>
      </c>
      <c r="N25" s="1502">
        <v>0</v>
      </c>
      <c r="O25" s="1502">
        <v>0</v>
      </c>
      <c r="P25" s="1502">
        <v>0</v>
      </c>
      <c r="Q25" s="1502">
        <v>0</v>
      </c>
      <c r="R25" s="1503">
        <v>0</v>
      </c>
      <c r="S25" s="1184"/>
      <c r="T25" s="1184"/>
    </row>
    <row r="26" spans="1:20">
      <c r="A26" s="1203">
        <v>109</v>
      </c>
      <c r="B26" s="1204" t="s">
        <v>1229</v>
      </c>
      <c r="C26" s="1204">
        <f t="shared" si="2"/>
        <v>0</v>
      </c>
      <c r="D26" s="1208" t="s">
        <v>1270</v>
      </c>
      <c r="E26" s="1206" t="s">
        <v>1271</v>
      </c>
      <c r="F26" s="1501">
        <v>0</v>
      </c>
      <c r="G26" s="1879">
        <v>0</v>
      </c>
      <c r="H26" s="1502">
        <v>0</v>
      </c>
      <c r="I26" s="1502">
        <v>0</v>
      </c>
      <c r="J26" s="1502">
        <v>0</v>
      </c>
      <c r="K26" s="1502">
        <v>0</v>
      </c>
      <c r="L26" s="1502">
        <v>0</v>
      </c>
      <c r="M26" s="1502">
        <v>0</v>
      </c>
      <c r="N26" s="1502">
        <v>0</v>
      </c>
      <c r="O26" s="1502">
        <v>0</v>
      </c>
      <c r="P26" s="1502">
        <v>0</v>
      </c>
      <c r="Q26" s="1502">
        <v>0</v>
      </c>
      <c r="R26" s="1503">
        <v>0</v>
      </c>
      <c r="S26" s="1184"/>
      <c r="T26" s="1184"/>
    </row>
    <row r="27" spans="1:20" ht="25.5">
      <c r="A27" s="1203">
        <v>111</v>
      </c>
      <c r="B27" s="1213" t="s">
        <v>1272</v>
      </c>
      <c r="C27" s="1204">
        <f>ABS(SUM(G27:R27))</f>
        <v>161901.96</v>
      </c>
      <c r="D27" s="1205" t="s">
        <v>149</v>
      </c>
      <c r="E27" s="1211" t="s">
        <v>1273</v>
      </c>
      <c r="F27" s="1501">
        <v>40475.49</v>
      </c>
      <c r="G27" s="1879">
        <v>0</v>
      </c>
      <c r="H27" s="1502">
        <v>0</v>
      </c>
      <c r="I27" s="1502">
        <v>40475.49</v>
      </c>
      <c r="J27" s="1502">
        <v>0</v>
      </c>
      <c r="K27" s="1502">
        <v>0</v>
      </c>
      <c r="L27" s="1502">
        <v>40475.49</v>
      </c>
      <c r="M27" s="1502">
        <v>0</v>
      </c>
      <c r="N27" s="1502">
        <v>0</v>
      </c>
      <c r="O27" s="1502">
        <v>40475.49</v>
      </c>
      <c r="P27" s="1502">
        <v>0</v>
      </c>
      <c r="Q27" s="1502">
        <v>0</v>
      </c>
      <c r="R27" s="1503">
        <v>40475.49</v>
      </c>
      <c r="S27" s="1184"/>
      <c r="T27" s="1184"/>
    </row>
    <row r="28" spans="1:20">
      <c r="A28" s="1203">
        <v>112</v>
      </c>
      <c r="B28" s="1204" t="s">
        <v>1229</v>
      </c>
      <c r="C28" s="1204">
        <f>AVERAGE(F28:R28)</f>
        <v>10190129260.886156</v>
      </c>
      <c r="D28" s="1208" t="s">
        <v>1274</v>
      </c>
      <c r="E28" s="1206" t="s">
        <v>1275</v>
      </c>
      <c r="F28" s="1501">
        <v>9972303344.0200005</v>
      </c>
      <c r="G28" s="1879">
        <v>9997229070.6100006</v>
      </c>
      <c r="H28" s="1502">
        <v>10038188019.540001</v>
      </c>
      <c r="I28" s="1502">
        <v>10091106615.059999</v>
      </c>
      <c r="J28" s="1502">
        <v>10089387375.73</v>
      </c>
      <c r="K28" s="1502">
        <v>10121594169.59</v>
      </c>
      <c r="L28" s="1502">
        <v>10024100306.75</v>
      </c>
      <c r="M28" s="1502">
        <v>10176654842.35</v>
      </c>
      <c r="N28" s="1502">
        <v>10279525174.85</v>
      </c>
      <c r="O28" s="1502">
        <v>10348717546.030001</v>
      </c>
      <c r="P28" s="1502">
        <v>10378285059</v>
      </c>
      <c r="Q28" s="1502">
        <v>10442269474.799999</v>
      </c>
      <c r="R28" s="1503">
        <v>10512319393.190001</v>
      </c>
      <c r="S28" s="1184"/>
      <c r="T28" s="1184"/>
    </row>
    <row r="29" spans="1:20">
      <c r="A29" s="1203">
        <v>114</v>
      </c>
      <c r="B29" s="1204" t="s">
        <v>1229</v>
      </c>
      <c r="C29" s="1204">
        <f>AVERAGE(F29:R29)</f>
        <v>95931556.763846159</v>
      </c>
      <c r="D29" s="1205" t="s">
        <v>1276</v>
      </c>
      <c r="E29" s="1206" t="s">
        <v>1277</v>
      </c>
      <c r="F29" s="1501">
        <v>100240450.53</v>
      </c>
      <c r="G29" s="1879">
        <v>99565606.189999998</v>
      </c>
      <c r="H29" s="1502">
        <v>101607989.59</v>
      </c>
      <c r="I29" s="1502">
        <v>100562498</v>
      </c>
      <c r="J29" s="1502">
        <v>99007583.530000001</v>
      </c>
      <c r="K29" s="1502">
        <v>96070025.769999996</v>
      </c>
      <c r="L29" s="1502">
        <v>95149062</v>
      </c>
      <c r="M29" s="1502">
        <v>96947658.510000005</v>
      </c>
      <c r="N29" s="1502">
        <v>98174975.38000001</v>
      </c>
      <c r="O29" s="1502">
        <v>98596344.540000007</v>
      </c>
      <c r="P29" s="1502">
        <v>100934201.38000001</v>
      </c>
      <c r="Q29" s="1502">
        <v>105984441.07000001</v>
      </c>
      <c r="R29" s="1503">
        <v>54269401.440000013</v>
      </c>
      <c r="S29" s="1184"/>
      <c r="T29" s="1184"/>
    </row>
    <row r="30" spans="1:20" ht="25.5">
      <c r="A30" s="1203">
        <v>115</v>
      </c>
      <c r="B30" s="1213" t="s">
        <v>1278</v>
      </c>
      <c r="C30" s="1204">
        <f>AVERAGE(F30:R30)</f>
        <v>-10032116.23153846</v>
      </c>
      <c r="D30" s="1208" t="s">
        <v>1279</v>
      </c>
      <c r="E30" s="1211" t="s">
        <v>1280</v>
      </c>
      <c r="F30" s="1501">
        <v>-10369236.189999999</v>
      </c>
      <c r="G30" s="1879">
        <v>-10321833.449999999</v>
      </c>
      <c r="H30" s="1502">
        <v>-10274430.720000001</v>
      </c>
      <c r="I30" s="1502">
        <v>-10227028</v>
      </c>
      <c r="J30" s="1502">
        <v>-10179625.26</v>
      </c>
      <c r="K30" s="1502">
        <v>-10132222.550000001</v>
      </c>
      <c r="L30" s="1502">
        <v>-10084819.810000001</v>
      </c>
      <c r="M30" s="1502">
        <v>-10037417.1</v>
      </c>
      <c r="N30" s="1502">
        <v>-9990014.3499999996</v>
      </c>
      <c r="O30" s="1502">
        <v>-9942611.6300000008</v>
      </c>
      <c r="P30" s="1502">
        <v>-9895208.8800000008</v>
      </c>
      <c r="Q30" s="1502">
        <v>-9847806.1799999997</v>
      </c>
      <c r="R30" s="1503">
        <v>-9115256.8900000006</v>
      </c>
      <c r="S30" s="1184"/>
      <c r="T30" s="1184"/>
    </row>
    <row r="31" spans="1:20">
      <c r="A31" s="1203" t="s">
        <v>1208</v>
      </c>
      <c r="B31" s="1214" t="s">
        <v>1175</v>
      </c>
      <c r="C31" s="1215" t="s">
        <v>1175</v>
      </c>
      <c r="D31" s="1205" t="s">
        <v>1281</v>
      </c>
      <c r="E31" s="1216" t="s">
        <v>1251</v>
      </c>
      <c r="F31" s="1501">
        <v>3417945896.2399998</v>
      </c>
      <c r="G31" s="1879">
        <v>3417945896.2399998</v>
      </c>
      <c r="H31" s="1502">
        <v>3417945896.2399998</v>
      </c>
      <c r="I31" s="1502">
        <v>3417945896.2399998</v>
      </c>
      <c r="J31" s="1502">
        <v>3417945896.2399998</v>
      </c>
      <c r="K31" s="1502">
        <v>3417945896.2399998</v>
      </c>
      <c r="L31" s="1502">
        <v>3417945896.2399998</v>
      </c>
      <c r="M31" s="1502">
        <v>3417945896.2399998</v>
      </c>
      <c r="N31" s="1502">
        <v>3417945896.2399998</v>
      </c>
      <c r="O31" s="1502">
        <v>3417945896.2399998</v>
      </c>
      <c r="P31" s="1502">
        <v>3417945896.2399998</v>
      </c>
      <c r="Q31" s="1502">
        <v>3417945896.2399998</v>
      </c>
      <c r="R31" s="1503">
        <v>3417945896.2399998</v>
      </c>
      <c r="S31" s="1184"/>
      <c r="T31" s="1184"/>
    </row>
    <row r="32" spans="1:20" ht="15.75" thickBot="1">
      <c r="A32" s="1217" t="s">
        <v>1208</v>
      </c>
      <c r="B32" s="1218" t="s">
        <v>1175</v>
      </c>
      <c r="C32" s="1219" t="s">
        <v>1175</v>
      </c>
      <c r="D32" s="1220" t="s">
        <v>1282</v>
      </c>
      <c r="E32" s="1221" t="s">
        <v>1251</v>
      </c>
      <c r="F32" s="1504">
        <v>1102063956.3800001</v>
      </c>
      <c r="G32" s="1880">
        <v>1102063956.3800001</v>
      </c>
      <c r="H32" s="1505">
        <v>1102063956.3800001</v>
      </c>
      <c r="I32" s="1505">
        <v>1102063956.3800001</v>
      </c>
      <c r="J32" s="1505">
        <v>1102063956.3800001</v>
      </c>
      <c r="K32" s="1505">
        <v>1102063956.3800001</v>
      </c>
      <c r="L32" s="1505">
        <v>1102063956.3800001</v>
      </c>
      <c r="M32" s="1505">
        <v>1102063956.3800001</v>
      </c>
      <c r="N32" s="1505">
        <v>1102063956.3800001</v>
      </c>
      <c r="O32" s="1505">
        <v>1102063956.3800001</v>
      </c>
      <c r="P32" s="1505">
        <v>1102063956.3800001</v>
      </c>
      <c r="Q32" s="1505">
        <v>1102063956.3800001</v>
      </c>
      <c r="R32" s="1599">
        <v>1102063956.3800001</v>
      </c>
      <c r="S32" s="1184"/>
      <c r="T32" s="1184"/>
    </row>
    <row r="33" spans="1:20">
      <c r="A33" s="1184"/>
      <c r="B33" s="1184"/>
      <c r="C33" s="1184"/>
      <c r="D33" s="1184"/>
      <c r="E33" s="1184"/>
      <c r="F33" s="1184"/>
      <c r="G33" s="1184"/>
      <c r="H33" s="1184"/>
      <c r="I33" s="1184"/>
      <c r="J33" s="1184"/>
      <c r="K33" s="1184"/>
      <c r="L33" s="1184"/>
      <c r="M33" s="1184"/>
      <c r="N33" s="1184"/>
      <c r="O33" s="1184"/>
      <c r="P33" s="1184"/>
      <c r="Q33" s="1184"/>
      <c r="R33" s="1184"/>
      <c r="S33" s="1184"/>
      <c r="T33" s="1184"/>
    </row>
    <row r="34" spans="1:20" ht="15.75" thickBot="1">
      <c r="A34" s="1184"/>
      <c r="B34" s="1184"/>
      <c r="C34" s="1184"/>
      <c r="D34" s="1184"/>
      <c r="E34" s="1184"/>
      <c r="F34" s="1184"/>
      <c r="G34" s="1184"/>
      <c r="H34" s="1184"/>
      <c r="I34" s="1184"/>
      <c r="J34" s="1184"/>
      <c r="K34" s="1184"/>
      <c r="L34" s="1184"/>
      <c r="M34" s="1184"/>
      <c r="N34" s="1184"/>
      <c r="O34" s="1184"/>
      <c r="P34" s="1184"/>
      <c r="Q34" s="1184"/>
      <c r="R34" s="1184"/>
      <c r="S34" s="1184"/>
      <c r="T34" s="1184"/>
    </row>
    <row r="35" spans="1:20" ht="15.75" thickBot="1">
      <c r="A35" s="1184"/>
      <c r="B35" s="1184"/>
      <c r="C35" s="1184"/>
      <c r="D35" s="1222" t="s">
        <v>284</v>
      </c>
      <c r="E35" s="1223"/>
      <c r="F35" s="1224" t="s">
        <v>111</v>
      </c>
      <c r="G35" s="1225" t="s">
        <v>1283</v>
      </c>
      <c r="H35" s="1226" t="s">
        <v>895</v>
      </c>
      <c r="I35" s="1184"/>
      <c r="J35" s="1184"/>
      <c r="K35" s="1184"/>
      <c r="L35" s="1184"/>
      <c r="M35" s="1184"/>
      <c r="N35" s="1227"/>
      <c r="O35" s="1184"/>
      <c r="P35" s="1184"/>
      <c r="Q35" s="1184"/>
      <c r="R35" s="1184"/>
      <c r="S35" s="1184"/>
      <c r="T35" s="1184"/>
    </row>
    <row r="36" spans="1:20">
      <c r="A36" s="1184"/>
      <c r="B36" s="1184"/>
      <c r="C36" s="1184"/>
      <c r="D36" s="1228" t="s">
        <v>1284</v>
      </c>
      <c r="E36" s="1229" t="s">
        <v>1285</v>
      </c>
      <c r="F36" s="1230">
        <v>0</v>
      </c>
      <c r="G36" s="1230">
        <v>0</v>
      </c>
      <c r="H36" s="1231">
        <v>0</v>
      </c>
      <c r="I36" s="1184"/>
      <c r="J36" s="1184"/>
      <c r="K36" s="1184"/>
      <c r="L36" s="1184"/>
      <c r="M36" s="1184"/>
      <c r="N36" s="1227"/>
      <c r="O36" s="1184"/>
      <c r="P36" s="1184"/>
      <c r="Q36" s="1184"/>
      <c r="R36" s="1184"/>
      <c r="S36" s="1184"/>
      <c r="T36" s="1184"/>
    </row>
    <row r="37" spans="1:20" ht="15.75" thickBot="1">
      <c r="A37" s="1184"/>
      <c r="B37" s="1184"/>
      <c r="C37" s="1184"/>
      <c r="D37" s="1232" t="s">
        <v>1286</v>
      </c>
      <c r="E37" s="1233" t="s">
        <v>1285</v>
      </c>
      <c r="F37" s="1234">
        <v>0</v>
      </c>
      <c r="G37" s="1234">
        <v>0</v>
      </c>
      <c r="H37" s="1235">
        <v>0</v>
      </c>
      <c r="I37" s="1184"/>
      <c r="J37" s="1184"/>
      <c r="K37" s="1184"/>
      <c r="L37" s="1184"/>
      <c r="M37" s="1184"/>
      <c r="N37" s="1227"/>
      <c r="O37" s="1184"/>
      <c r="P37" s="1184"/>
      <c r="Q37" s="1184"/>
      <c r="R37" s="1184"/>
      <c r="S37" s="1184"/>
      <c r="T37" s="1184"/>
    </row>
    <row r="38" spans="1:20">
      <c r="A38" s="1184"/>
      <c r="B38" s="1184"/>
      <c r="C38" s="1184"/>
      <c r="D38" s="1184"/>
      <c r="E38" s="1184"/>
      <c r="F38" s="1184"/>
      <c r="G38" s="1184"/>
      <c r="H38" s="1184"/>
      <c r="I38" s="1184"/>
      <c r="J38" s="1184"/>
      <c r="K38" s="1184"/>
      <c r="L38" s="1184"/>
      <c r="M38" s="1184"/>
      <c r="N38" s="1227"/>
      <c r="O38" s="1184"/>
      <c r="P38" s="1184"/>
      <c r="Q38" s="1184"/>
      <c r="R38" s="1184"/>
      <c r="S38" s="1184"/>
      <c r="T38" s="1184"/>
    </row>
    <row r="39" spans="1:20">
      <c r="A39" s="1184"/>
      <c r="B39" s="1184"/>
      <c r="C39" s="1184"/>
      <c r="D39" s="1184"/>
      <c r="E39" s="1184"/>
      <c r="F39" s="1184"/>
      <c r="G39" s="1184"/>
      <c r="H39" s="1184"/>
      <c r="I39" s="1184"/>
      <c r="J39" s="1184"/>
      <c r="K39" s="1184"/>
      <c r="L39" s="1184"/>
      <c r="M39" s="1184"/>
      <c r="N39" s="1227"/>
      <c r="O39" s="1184"/>
      <c r="P39" s="1184"/>
      <c r="Q39" s="1184"/>
      <c r="R39" s="1184"/>
      <c r="S39" s="1184"/>
      <c r="T39" s="1184"/>
    </row>
    <row r="40" spans="1:20">
      <c r="A40" s="1184"/>
      <c r="B40" s="1184"/>
      <c r="C40" s="1184"/>
      <c r="D40" s="1184"/>
      <c r="E40" s="1184"/>
      <c r="F40" s="1184"/>
      <c r="G40" s="1184"/>
      <c r="H40" s="1184"/>
      <c r="I40" s="1184"/>
      <c r="J40" s="1184"/>
      <c r="K40" s="1184"/>
      <c r="L40" s="1184"/>
      <c r="M40" s="1184"/>
      <c r="N40" s="1227"/>
      <c r="O40" s="1184"/>
      <c r="P40" s="1184"/>
      <c r="Q40" s="1184"/>
      <c r="R40" s="1184"/>
      <c r="S40" s="1184"/>
      <c r="T40" s="1184"/>
    </row>
    <row r="41" spans="1:20">
      <c r="A41" s="1184"/>
      <c r="B41" s="1184"/>
      <c r="C41" s="1184"/>
      <c r="D41" s="1184"/>
      <c r="E41" s="1184"/>
      <c r="F41" s="1184"/>
      <c r="G41" s="1184"/>
      <c r="H41" s="1184"/>
      <c r="I41" s="1184"/>
      <c r="J41" s="1184"/>
      <c r="K41" s="1184"/>
      <c r="L41" s="1184"/>
      <c r="M41" s="1184"/>
      <c r="N41" s="1227"/>
      <c r="O41" s="1184"/>
      <c r="P41" s="1184"/>
      <c r="Q41" s="1184"/>
      <c r="R41" s="1184"/>
      <c r="S41" s="1184"/>
      <c r="T41" s="1184"/>
    </row>
    <row r="42" spans="1:20">
      <c r="A42" s="1184"/>
      <c r="B42" s="1184"/>
      <c r="C42" s="1184"/>
      <c r="D42" s="1184"/>
      <c r="E42" s="1184"/>
      <c r="F42" s="1184"/>
      <c r="G42" s="1184"/>
      <c r="H42" s="1184"/>
      <c r="I42" s="1184"/>
      <c r="J42" s="1184"/>
      <c r="K42" s="1184"/>
      <c r="L42" s="1184"/>
      <c r="M42" s="1184"/>
      <c r="N42" s="1227"/>
      <c r="O42" s="1184"/>
      <c r="P42" s="1184"/>
      <c r="Q42" s="1184"/>
      <c r="R42" s="1184"/>
      <c r="S42" s="1184"/>
      <c r="T42" s="1184"/>
    </row>
    <row r="43" spans="1:20">
      <c r="A43" s="1184"/>
      <c r="B43" s="1184"/>
      <c r="C43" s="1184"/>
      <c r="D43" s="1184"/>
      <c r="E43" s="1184"/>
      <c r="F43" s="1184"/>
      <c r="G43" s="1184"/>
      <c r="H43" s="1184"/>
      <c r="I43" s="1184"/>
      <c r="J43" s="1184"/>
      <c r="K43" s="1184"/>
      <c r="L43" s="1184"/>
      <c r="M43" s="1184"/>
      <c r="N43" s="1227"/>
      <c r="O43" s="1184"/>
      <c r="P43" s="1184"/>
      <c r="Q43" s="1184"/>
      <c r="R43" s="1184"/>
      <c r="S43" s="1184"/>
      <c r="T43" s="1184"/>
    </row>
    <row r="44" spans="1:20">
      <c r="A44" s="1184"/>
      <c r="B44" s="1184"/>
      <c r="C44" s="1184"/>
      <c r="D44" s="1184"/>
      <c r="E44" s="1184"/>
      <c r="F44" s="1184"/>
      <c r="G44" s="1184"/>
      <c r="H44" s="1184"/>
      <c r="I44" s="1184"/>
      <c r="J44" s="1184"/>
      <c r="K44" s="1184"/>
      <c r="L44" s="1184"/>
      <c r="M44" s="1184"/>
      <c r="N44" s="1227"/>
      <c r="O44" s="1184"/>
      <c r="P44" s="1184"/>
      <c r="Q44" s="1184"/>
      <c r="R44" s="1184"/>
      <c r="S44" s="1184"/>
      <c r="T44" s="1184"/>
    </row>
    <row r="45" spans="1:20">
      <c r="A45" s="1184"/>
      <c r="B45" s="1184"/>
      <c r="C45" s="1184"/>
      <c r="D45" s="1184"/>
      <c r="E45" s="1184"/>
      <c r="F45" s="1184"/>
      <c r="G45" s="1184"/>
      <c r="H45" s="1184"/>
      <c r="I45" s="1184"/>
      <c r="J45" s="1184"/>
      <c r="K45" s="1184"/>
      <c r="L45" s="1184"/>
      <c r="M45" s="1184"/>
      <c r="N45" s="1227"/>
      <c r="O45" s="1184"/>
      <c r="P45" s="1184"/>
      <c r="Q45" s="1184"/>
      <c r="R45" s="1184"/>
      <c r="S45" s="1184"/>
      <c r="T45" s="1184"/>
    </row>
    <row r="46" spans="1:20">
      <c r="A46" s="1184"/>
      <c r="B46" s="1184"/>
      <c r="C46" s="1184"/>
      <c r="D46" s="1184"/>
      <c r="E46" s="1184"/>
      <c r="F46" s="1184"/>
      <c r="G46" s="1184"/>
      <c r="H46" s="1184"/>
      <c r="I46" s="1184"/>
      <c r="J46" s="1184"/>
      <c r="K46" s="1184"/>
      <c r="L46" s="1184"/>
      <c r="M46" s="1184"/>
      <c r="N46" s="1227"/>
      <c r="O46" s="1184"/>
      <c r="P46" s="1184"/>
      <c r="Q46" s="1184"/>
      <c r="R46" s="1184"/>
      <c r="S46" s="1184"/>
      <c r="T46" s="1184"/>
    </row>
    <row r="47" spans="1:20">
      <c r="A47" s="1184"/>
      <c r="B47" s="1184"/>
      <c r="C47" s="1184"/>
      <c r="D47" s="1184"/>
      <c r="E47" s="1184"/>
      <c r="F47" s="1184"/>
      <c r="G47" s="1184"/>
      <c r="H47" s="1184"/>
      <c r="I47" s="1184"/>
      <c r="J47" s="1184"/>
      <c r="K47" s="1184"/>
      <c r="L47" s="1184"/>
      <c r="M47" s="1184"/>
      <c r="N47" s="1227"/>
      <c r="O47" s="1184"/>
      <c r="P47" s="1184"/>
      <c r="Q47" s="1184"/>
      <c r="R47" s="1184"/>
      <c r="S47" s="1184"/>
      <c r="T47" s="1184"/>
    </row>
    <row r="48" spans="1:20">
      <c r="A48" s="1184"/>
      <c r="B48" s="1184"/>
      <c r="C48" s="1184"/>
      <c r="D48" s="1184"/>
      <c r="E48" s="1184"/>
      <c r="F48" s="1184"/>
      <c r="G48" s="1184"/>
      <c r="H48" s="1184"/>
      <c r="I48" s="1184"/>
      <c r="J48" s="1184"/>
      <c r="K48" s="1184"/>
      <c r="L48" s="1184"/>
      <c r="M48" s="1184"/>
      <c r="N48" s="1227"/>
      <c r="O48" s="1184"/>
      <c r="P48" s="1184"/>
      <c r="Q48" s="1184"/>
      <c r="R48" s="1184"/>
      <c r="S48" s="1184"/>
      <c r="T48" s="1184"/>
    </row>
    <row r="49" spans="1:20">
      <c r="A49" s="1184"/>
      <c r="B49" s="1184"/>
      <c r="C49" s="1184"/>
      <c r="D49" s="1184"/>
      <c r="E49" s="1184"/>
      <c r="F49" s="1184"/>
      <c r="G49" s="1184"/>
      <c r="H49" s="1184"/>
      <c r="I49" s="1184"/>
      <c r="J49" s="1184"/>
      <c r="K49" s="1184"/>
      <c r="L49" s="1184"/>
      <c r="M49" s="1184"/>
      <c r="N49" s="1227"/>
      <c r="O49" s="1184"/>
      <c r="P49" s="1184"/>
      <c r="Q49" s="1184"/>
      <c r="R49" s="1184"/>
      <c r="S49" s="1184"/>
      <c r="T49" s="1184"/>
    </row>
    <row r="50" spans="1:20">
      <c r="A50" s="1184"/>
      <c r="B50" s="1184"/>
      <c r="C50" s="1184"/>
      <c r="D50" s="1184"/>
      <c r="E50" s="1184"/>
      <c r="F50" s="1184"/>
      <c r="G50" s="1184"/>
      <c r="H50" s="1184"/>
      <c r="I50" s="1184"/>
      <c r="J50" s="1184"/>
      <c r="K50" s="1184"/>
      <c r="L50" s="1184"/>
      <c r="M50" s="1184"/>
      <c r="N50" s="1227"/>
      <c r="O50" s="1184"/>
      <c r="P50" s="1184"/>
      <c r="Q50" s="1184"/>
      <c r="R50" s="1184"/>
      <c r="S50" s="1184"/>
      <c r="T50" s="1184"/>
    </row>
    <row r="51" spans="1:20">
      <c r="A51" s="1184"/>
      <c r="B51" s="1184"/>
      <c r="C51" s="1184"/>
      <c r="D51" s="1184"/>
      <c r="E51" s="1184"/>
      <c r="F51" s="1184"/>
      <c r="G51" s="1184"/>
      <c r="H51" s="1184"/>
      <c r="I51" s="1184"/>
      <c r="J51" s="1184"/>
      <c r="K51" s="1184"/>
      <c r="L51" s="1184"/>
      <c r="M51" s="1184"/>
      <c r="N51" s="1227"/>
      <c r="O51" s="1184"/>
      <c r="P51" s="1184"/>
      <c r="Q51" s="1184"/>
      <c r="R51" s="1184"/>
      <c r="S51" s="1184"/>
      <c r="T51" s="1184"/>
    </row>
    <row r="52" spans="1:20">
      <c r="A52" s="1184"/>
      <c r="B52" s="1184"/>
      <c r="C52" s="1184"/>
      <c r="D52" s="1184"/>
      <c r="E52" s="1184"/>
      <c r="F52" s="1184"/>
      <c r="G52" s="1184"/>
      <c r="H52" s="1184"/>
      <c r="I52" s="1184"/>
      <c r="J52" s="1184"/>
      <c r="K52" s="1184"/>
      <c r="L52" s="1184"/>
      <c r="M52" s="1184"/>
      <c r="N52" s="1227"/>
      <c r="O52" s="1184"/>
      <c r="P52" s="1184"/>
      <c r="Q52" s="1184"/>
      <c r="R52" s="1184"/>
      <c r="S52" s="1184"/>
      <c r="T52" s="1184"/>
    </row>
    <row r="53" spans="1:20">
      <c r="A53" s="1184"/>
      <c r="B53" s="1184"/>
      <c r="C53" s="1184"/>
      <c r="D53" s="1184"/>
      <c r="E53" s="1184"/>
      <c r="F53" s="1184"/>
      <c r="G53" s="1184"/>
      <c r="H53" s="1184"/>
      <c r="I53" s="1184"/>
      <c r="J53" s="1184"/>
      <c r="K53" s="1184"/>
      <c r="L53" s="1184"/>
      <c r="M53" s="1184"/>
      <c r="N53" s="1227"/>
      <c r="O53" s="1184"/>
      <c r="P53" s="1184"/>
      <c r="Q53" s="1184"/>
      <c r="R53" s="1184"/>
      <c r="S53" s="1184"/>
      <c r="T53" s="1184"/>
    </row>
    <row r="54" spans="1:20">
      <c r="A54" s="1184"/>
      <c r="B54" s="1184"/>
      <c r="C54" s="1184"/>
      <c r="D54" s="1184"/>
      <c r="E54" s="1184"/>
      <c r="F54" s="1184"/>
      <c r="G54" s="1184"/>
      <c r="H54" s="1184"/>
      <c r="I54" s="1184"/>
      <c r="J54" s="1184"/>
      <c r="K54" s="1184"/>
      <c r="L54" s="1184"/>
      <c r="M54" s="1184"/>
      <c r="N54" s="1227"/>
      <c r="O54" s="1184"/>
      <c r="P54" s="1184"/>
      <c r="Q54" s="1184"/>
      <c r="R54" s="1184"/>
      <c r="S54" s="1184"/>
      <c r="T54" s="1184"/>
    </row>
    <row r="55" spans="1:20">
      <c r="A55" s="1184"/>
      <c r="B55" s="1184"/>
      <c r="C55" s="1184"/>
      <c r="D55" s="1184"/>
      <c r="E55" s="1184"/>
      <c r="F55" s="1184"/>
      <c r="G55" s="1184"/>
      <c r="H55" s="1184"/>
      <c r="I55" s="1184"/>
      <c r="J55" s="1184"/>
      <c r="K55" s="1184"/>
      <c r="L55" s="1184"/>
      <c r="M55" s="1184"/>
      <c r="N55" s="1227"/>
      <c r="O55" s="1184"/>
      <c r="P55" s="1184"/>
      <c r="Q55" s="1184"/>
      <c r="R55" s="1184"/>
      <c r="S55" s="1184"/>
      <c r="T55" s="1184"/>
    </row>
    <row r="56" spans="1:20">
      <c r="A56" s="1184"/>
      <c r="B56" s="1184"/>
      <c r="C56" s="1184"/>
      <c r="D56" s="1184"/>
      <c r="E56" s="1184"/>
      <c r="F56" s="1184"/>
      <c r="G56" s="1184"/>
      <c r="H56" s="1184"/>
      <c r="I56" s="1184"/>
      <c r="J56" s="1184"/>
      <c r="K56" s="1184"/>
      <c r="L56" s="1184"/>
      <c r="M56" s="1184"/>
      <c r="N56" s="1227"/>
      <c r="O56" s="1184"/>
      <c r="P56" s="1184"/>
      <c r="Q56" s="1184"/>
      <c r="R56" s="1184"/>
      <c r="S56" s="1184"/>
      <c r="T56" s="1184"/>
    </row>
    <row r="57" spans="1:20">
      <c r="A57" s="1184"/>
      <c r="B57" s="1184"/>
      <c r="C57" s="1184"/>
      <c r="D57" s="1184"/>
      <c r="E57" s="1184"/>
      <c r="F57" s="1184"/>
      <c r="G57" s="1184"/>
      <c r="H57" s="1184"/>
      <c r="I57" s="1184"/>
      <c r="J57" s="1184"/>
      <c r="K57" s="1184"/>
      <c r="L57" s="1184"/>
      <c r="M57" s="1184"/>
      <c r="N57" s="1227"/>
      <c r="O57" s="1184"/>
      <c r="P57" s="1184"/>
      <c r="Q57" s="1184"/>
      <c r="R57" s="1184"/>
      <c r="S57" s="1184"/>
      <c r="T57" s="1184"/>
    </row>
    <row r="58" spans="1:20">
      <c r="A58" s="1184"/>
      <c r="B58" s="1184"/>
      <c r="C58" s="1184"/>
      <c r="D58" s="1184"/>
      <c r="E58" s="1184"/>
      <c r="F58" s="1184"/>
      <c r="G58" s="1184"/>
      <c r="H58" s="1184"/>
      <c r="I58" s="1184"/>
      <c r="J58" s="1184"/>
      <c r="K58" s="1184"/>
      <c r="L58" s="1184"/>
      <c r="M58" s="1184"/>
      <c r="N58" s="1227"/>
      <c r="O58" s="1184"/>
      <c r="P58" s="1184"/>
      <c r="Q58" s="1184"/>
      <c r="R58" s="1184"/>
      <c r="S58" s="1184"/>
      <c r="T58" s="1184"/>
    </row>
    <row r="59" spans="1:20">
      <c r="A59" s="1184"/>
      <c r="B59" s="1184"/>
      <c r="C59" s="1184"/>
      <c r="D59" s="1184"/>
      <c r="E59" s="1184"/>
      <c r="F59" s="1184"/>
      <c r="G59" s="1184"/>
      <c r="H59" s="1184"/>
      <c r="I59" s="1184"/>
      <c r="J59" s="1184"/>
      <c r="K59" s="1184"/>
      <c r="L59" s="1184"/>
      <c r="M59" s="1184"/>
      <c r="N59" s="1227"/>
      <c r="O59" s="1184"/>
      <c r="P59" s="1184"/>
      <c r="Q59" s="1184"/>
      <c r="R59" s="1184"/>
      <c r="S59" s="1184"/>
      <c r="T59" s="1184"/>
    </row>
    <row r="60" spans="1:20">
      <c r="A60" s="1184"/>
      <c r="B60" s="1184"/>
      <c r="C60" s="1184"/>
      <c r="D60" s="1184"/>
      <c r="E60" s="1184"/>
      <c r="F60" s="1184"/>
      <c r="G60" s="1184"/>
      <c r="H60" s="1184"/>
      <c r="I60" s="1184"/>
      <c r="J60" s="1184"/>
      <c r="K60" s="1184"/>
      <c r="L60" s="1184"/>
      <c r="M60" s="1184"/>
      <c r="N60" s="1227"/>
      <c r="O60" s="1184"/>
      <c r="P60" s="1184"/>
      <c r="Q60" s="1184"/>
      <c r="R60" s="1184"/>
      <c r="S60" s="1184"/>
      <c r="T60" s="1184"/>
    </row>
    <row r="61" spans="1:20">
      <c r="A61" s="1184"/>
      <c r="B61" s="1184"/>
      <c r="C61" s="1184"/>
      <c r="D61" s="1184"/>
      <c r="E61" s="1184"/>
      <c r="F61" s="1184"/>
      <c r="G61" s="1184"/>
      <c r="H61" s="1184"/>
      <c r="I61" s="1184"/>
      <c r="J61" s="1184"/>
      <c r="K61" s="1184"/>
      <c r="L61" s="1184"/>
      <c r="M61" s="1184"/>
      <c r="N61" s="1227"/>
      <c r="O61" s="1184"/>
      <c r="P61" s="1184"/>
      <c r="Q61" s="1184"/>
      <c r="R61" s="1184"/>
      <c r="S61" s="1184"/>
      <c r="T61" s="1184"/>
    </row>
    <row r="62" spans="1:20">
      <c r="A62" s="1184"/>
      <c r="B62" s="1184"/>
      <c r="C62" s="1184"/>
      <c r="D62" s="1184"/>
      <c r="E62" s="1184"/>
      <c r="F62" s="1184"/>
      <c r="G62" s="1184"/>
      <c r="H62" s="1184"/>
      <c r="I62" s="1184"/>
      <c r="J62" s="1184"/>
      <c r="K62" s="1184"/>
      <c r="L62" s="1184"/>
      <c r="M62" s="1184"/>
      <c r="N62" s="1227"/>
      <c r="O62" s="1184"/>
      <c r="P62" s="1184"/>
      <c r="Q62" s="1184"/>
      <c r="R62" s="1184"/>
      <c r="S62" s="1184"/>
      <c r="T62" s="1184"/>
    </row>
    <row r="63" spans="1:20">
      <c r="A63" s="1184"/>
      <c r="B63" s="1184"/>
      <c r="C63" s="1184"/>
      <c r="D63" s="1184"/>
      <c r="E63" s="1184"/>
      <c r="F63" s="1184"/>
      <c r="G63" s="1184"/>
      <c r="H63" s="1184"/>
      <c r="I63" s="1184"/>
      <c r="J63" s="1184"/>
      <c r="K63" s="1184"/>
      <c r="L63" s="1184"/>
      <c r="M63" s="1184"/>
      <c r="N63" s="1227"/>
      <c r="O63" s="1184"/>
      <c r="P63" s="1184"/>
      <c r="Q63" s="1184"/>
      <c r="R63" s="1184"/>
      <c r="S63" s="1184"/>
      <c r="T63" s="1184"/>
    </row>
    <row r="64" spans="1:20">
      <c r="A64" s="1184"/>
      <c r="B64" s="1184"/>
      <c r="C64" s="1184"/>
      <c r="D64" s="1184"/>
      <c r="E64" s="1184"/>
      <c r="F64" s="1184"/>
      <c r="G64" s="1184"/>
      <c r="H64" s="1184"/>
      <c r="I64" s="1184"/>
      <c r="J64" s="1184"/>
      <c r="K64" s="1184"/>
      <c r="L64" s="1184"/>
      <c r="M64" s="1184"/>
      <c r="N64" s="1227"/>
      <c r="O64" s="1184"/>
      <c r="P64" s="1184"/>
      <c r="Q64" s="1184"/>
      <c r="R64" s="1184"/>
      <c r="S64" s="1184"/>
      <c r="T64" s="1184"/>
    </row>
    <row r="65" spans="1:20">
      <c r="A65" s="1184"/>
      <c r="B65" s="1184"/>
      <c r="C65" s="1184"/>
      <c r="D65" s="1184"/>
      <c r="E65" s="1184"/>
      <c r="F65" s="1184"/>
      <c r="G65" s="1184"/>
      <c r="H65" s="1184"/>
      <c r="I65" s="1184"/>
      <c r="J65" s="1184"/>
      <c r="K65" s="1184"/>
      <c r="L65" s="1184"/>
      <c r="M65" s="1184"/>
      <c r="N65" s="1227"/>
      <c r="O65" s="1184"/>
      <c r="P65" s="1184"/>
      <c r="Q65" s="1184"/>
      <c r="R65" s="1184"/>
      <c r="S65" s="1184"/>
      <c r="T65" s="1184"/>
    </row>
    <row r="66" spans="1:20">
      <c r="A66" s="1184"/>
      <c r="B66" s="1184"/>
      <c r="C66" s="1184"/>
      <c r="D66" s="1184"/>
      <c r="E66" s="1184"/>
      <c r="F66" s="1184"/>
      <c r="G66" s="1184"/>
      <c r="H66" s="1184"/>
      <c r="I66" s="1184"/>
      <c r="J66" s="1184"/>
      <c r="K66" s="1184"/>
      <c r="L66" s="1184"/>
      <c r="M66" s="1184"/>
      <c r="N66" s="1227"/>
      <c r="O66" s="1184"/>
      <c r="P66" s="1184"/>
      <c r="Q66" s="1184"/>
      <c r="R66" s="1184"/>
      <c r="S66" s="1184"/>
      <c r="T66" s="1184"/>
    </row>
    <row r="67" spans="1:20">
      <c r="A67" s="1184"/>
      <c r="B67" s="1184"/>
      <c r="C67" s="1184"/>
      <c r="D67" s="1184"/>
      <c r="E67" s="1184"/>
      <c r="F67" s="1184"/>
      <c r="G67" s="1184"/>
      <c r="H67" s="1184"/>
      <c r="I67" s="1184"/>
      <c r="J67" s="1184"/>
      <c r="K67" s="1184"/>
      <c r="L67" s="1184"/>
      <c r="M67" s="1184"/>
      <c r="N67" s="1227"/>
      <c r="O67" s="1184"/>
      <c r="P67" s="1184"/>
      <c r="Q67" s="1184"/>
      <c r="R67" s="1184"/>
      <c r="S67" s="1184"/>
      <c r="T67" s="1184"/>
    </row>
    <row r="68" spans="1:20">
      <c r="A68" s="1184"/>
      <c r="B68" s="1184"/>
      <c r="C68" s="1184"/>
      <c r="D68" s="1184"/>
      <c r="E68" s="1184"/>
      <c r="F68" s="1184"/>
      <c r="G68" s="1184"/>
      <c r="H68" s="1184"/>
      <c r="I68" s="1184"/>
      <c r="J68" s="1184"/>
      <c r="K68" s="1184"/>
      <c r="L68" s="1184"/>
      <c r="M68" s="1184"/>
      <c r="N68" s="1227"/>
      <c r="O68" s="1184"/>
      <c r="P68" s="1184"/>
      <c r="Q68" s="1184"/>
      <c r="R68" s="1184"/>
      <c r="S68" s="1184"/>
      <c r="T68" s="1184"/>
    </row>
    <row r="69" spans="1:20">
      <c r="A69" s="1184"/>
      <c r="B69" s="1184"/>
      <c r="C69" s="1184"/>
      <c r="D69" s="1184"/>
      <c r="E69" s="1184"/>
      <c r="F69" s="1184"/>
      <c r="G69" s="1184"/>
      <c r="H69" s="1184"/>
      <c r="I69" s="1184"/>
      <c r="J69" s="1184"/>
      <c r="K69" s="1184"/>
      <c r="L69" s="1184"/>
      <c r="M69" s="1184"/>
      <c r="N69" s="1227"/>
      <c r="O69" s="1184"/>
      <c r="P69" s="1184"/>
      <c r="Q69" s="1184"/>
      <c r="R69" s="1184"/>
      <c r="S69" s="1184"/>
      <c r="T69" s="1184"/>
    </row>
    <row r="70" spans="1:20">
      <c r="A70" s="1184"/>
      <c r="B70" s="1184"/>
      <c r="C70" s="1184"/>
      <c r="D70" s="1184"/>
      <c r="E70" s="1184"/>
      <c r="F70" s="1184"/>
      <c r="G70" s="1184"/>
      <c r="H70" s="1184"/>
      <c r="I70" s="1184"/>
      <c r="J70" s="1184"/>
      <c r="K70" s="1184"/>
      <c r="L70" s="1184"/>
      <c r="M70" s="1184"/>
      <c r="N70" s="1227"/>
      <c r="O70" s="1184"/>
      <c r="P70" s="1184"/>
      <c r="Q70" s="1184"/>
      <c r="R70" s="1184"/>
      <c r="S70" s="1184"/>
      <c r="T70" s="1184"/>
    </row>
    <row r="71" spans="1:20">
      <c r="A71" s="1184"/>
      <c r="B71" s="1184"/>
      <c r="C71" s="1184"/>
      <c r="D71" s="1184"/>
      <c r="E71" s="1184"/>
      <c r="F71" s="1184"/>
      <c r="G71" s="1184"/>
      <c r="H71" s="1184"/>
      <c r="I71" s="1184"/>
      <c r="J71" s="1184"/>
      <c r="K71" s="1184"/>
      <c r="L71" s="1184"/>
      <c r="M71" s="1184"/>
      <c r="N71" s="1227"/>
      <c r="O71" s="1184"/>
      <c r="P71" s="1184"/>
      <c r="Q71" s="1184"/>
      <c r="R71" s="1184"/>
      <c r="S71" s="1184"/>
      <c r="T71" s="1184"/>
    </row>
    <row r="72" spans="1:20">
      <c r="A72" s="1184"/>
      <c r="B72" s="1184"/>
      <c r="C72" s="1184"/>
      <c r="D72" s="1184"/>
      <c r="E72" s="1184"/>
      <c r="F72" s="1184"/>
      <c r="G72" s="1184"/>
      <c r="H72" s="1184"/>
      <c r="I72" s="1184"/>
      <c r="J72" s="1184"/>
      <c r="K72" s="1184"/>
      <c r="L72" s="1184"/>
      <c r="M72" s="1184"/>
      <c r="N72" s="1227"/>
      <c r="O72" s="1184"/>
      <c r="P72" s="1184"/>
      <c r="Q72" s="1184"/>
      <c r="R72" s="1184"/>
      <c r="S72" s="1184"/>
      <c r="T72" s="1184"/>
    </row>
    <row r="73" spans="1:20">
      <c r="A73" s="1184"/>
      <c r="B73" s="1184"/>
      <c r="C73" s="1184"/>
      <c r="D73" s="1184"/>
      <c r="E73" s="1184"/>
      <c r="F73" s="1184"/>
      <c r="G73" s="1184"/>
      <c r="H73" s="1184"/>
      <c r="I73" s="1184"/>
      <c r="J73" s="1184"/>
      <c r="K73" s="1184"/>
      <c r="L73" s="1184"/>
      <c r="M73" s="1184"/>
      <c r="N73" s="1227"/>
      <c r="O73" s="1184"/>
      <c r="P73" s="1184"/>
      <c r="Q73" s="1184"/>
      <c r="R73" s="1184"/>
      <c r="S73" s="1184"/>
      <c r="T73" s="1184"/>
    </row>
    <row r="74" spans="1:20">
      <c r="A74" s="1184"/>
      <c r="B74" s="1184"/>
      <c r="C74" s="1184"/>
      <c r="D74" s="1184"/>
      <c r="E74" s="1184"/>
      <c r="F74" s="1184"/>
      <c r="G74" s="1184"/>
      <c r="H74" s="1184"/>
      <c r="I74" s="1184"/>
      <c r="J74" s="1184"/>
      <c r="K74" s="1184"/>
      <c r="L74" s="1184"/>
      <c r="M74" s="1184"/>
      <c r="N74" s="1227"/>
      <c r="O74" s="1184"/>
      <c r="P74" s="1184"/>
      <c r="Q74" s="1184"/>
      <c r="R74" s="1184"/>
      <c r="S74" s="1184"/>
      <c r="T74" s="1184"/>
    </row>
    <row r="75" spans="1:20">
      <c r="A75" s="1184"/>
      <c r="B75" s="1184"/>
      <c r="C75" s="1184"/>
      <c r="D75" s="1184"/>
      <c r="E75" s="1184"/>
      <c r="F75" s="1184"/>
      <c r="G75" s="1184"/>
      <c r="H75" s="1184"/>
      <c r="I75" s="1184"/>
      <c r="J75" s="1184"/>
      <c r="K75" s="1184"/>
      <c r="L75" s="1184"/>
      <c r="M75" s="1184"/>
      <c r="N75" s="1227"/>
      <c r="O75" s="1184"/>
      <c r="P75" s="1184"/>
      <c r="Q75" s="1184"/>
      <c r="R75" s="1184"/>
      <c r="S75" s="1184"/>
      <c r="T75" s="1184"/>
    </row>
    <row r="76" spans="1:20">
      <c r="A76" s="1184"/>
      <c r="B76" s="1184"/>
      <c r="C76" s="1184"/>
      <c r="D76" s="1184"/>
      <c r="E76" s="1184"/>
      <c r="F76" s="1184"/>
      <c r="G76" s="1184"/>
      <c r="H76" s="1184"/>
      <c r="I76" s="1184"/>
      <c r="J76" s="1184"/>
      <c r="K76" s="1184"/>
      <c r="L76" s="1184"/>
      <c r="M76" s="1184"/>
      <c r="N76" s="1227"/>
      <c r="O76" s="1184"/>
      <c r="P76" s="1184"/>
      <c r="Q76" s="1184"/>
      <c r="R76" s="1184"/>
      <c r="S76" s="1184"/>
      <c r="T76" s="1184"/>
    </row>
    <row r="77" spans="1:20">
      <c r="A77" s="1184"/>
      <c r="B77" s="1184"/>
      <c r="C77" s="1184"/>
      <c r="D77" s="1184"/>
      <c r="E77" s="1184"/>
      <c r="F77" s="1184"/>
      <c r="G77" s="1184"/>
      <c r="H77" s="1184"/>
      <c r="I77" s="1184"/>
      <c r="J77" s="1184"/>
      <c r="K77" s="1184"/>
      <c r="L77" s="1184"/>
      <c r="M77" s="1184"/>
      <c r="N77" s="1227"/>
      <c r="O77" s="1184"/>
      <c r="P77" s="1184"/>
      <c r="Q77" s="1184"/>
      <c r="R77" s="1184"/>
      <c r="S77" s="1184"/>
      <c r="T77" s="1184"/>
    </row>
  </sheetData>
  <pageMargins left="0.7" right="0.7" top="0.75" bottom="0.75" header="0.3" footer="0.3"/>
  <pageSetup scale="34"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R34"/>
  <sheetViews>
    <sheetView workbookViewId="0">
      <selection activeCell="C23" sqref="C23"/>
    </sheetView>
  </sheetViews>
  <sheetFormatPr defaultRowHeight="15"/>
  <cols>
    <col min="1" max="1" width="2.5703125" customWidth="1"/>
    <col min="2" max="2" width="58.7109375" customWidth="1"/>
    <col min="3" max="3" width="23.28515625" customWidth="1"/>
    <col min="4" max="4" width="3.28515625" customWidth="1"/>
    <col min="5" max="5" width="21.42578125" customWidth="1"/>
  </cols>
  <sheetData>
    <row r="1" spans="1:18" ht="15.75">
      <c r="A1" s="305"/>
      <c r="B1" s="1996" t="s">
        <v>2</v>
      </c>
      <c r="C1" s="1996"/>
      <c r="D1" s="332"/>
      <c r="E1" s="332"/>
      <c r="F1" s="332"/>
      <c r="G1" s="332"/>
      <c r="H1" s="332"/>
      <c r="I1" s="332"/>
      <c r="J1" s="332"/>
      <c r="K1" s="332"/>
      <c r="L1" s="332"/>
      <c r="M1" s="332"/>
      <c r="N1" s="305"/>
      <c r="O1" s="305"/>
      <c r="P1" s="305"/>
      <c r="Q1" s="305"/>
      <c r="R1" s="305"/>
    </row>
    <row r="2" spans="1:18" ht="15.75">
      <c r="A2" s="305"/>
      <c r="B2" s="1996" t="s">
        <v>1287</v>
      </c>
      <c r="C2" s="1996"/>
      <c r="D2" s="332"/>
      <c r="E2" s="332"/>
      <c r="F2" s="332"/>
      <c r="G2" s="332"/>
      <c r="H2" s="332"/>
      <c r="I2" s="332"/>
      <c r="J2" s="332"/>
      <c r="K2" s="332"/>
      <c r="L2" s="332"/>
      <c r="M2" s="332"/>
      <c r="N2" s="305"/>
      <c r="O2" s="305"/>
      <c r="P2" s="305"/>
      <c r="Q2" s="305"/>
      <c r="R2" s="305"/>
    </row>
    <row r="3" spans="1:18">
      <c r="A3" s="305"/>
      <c r="B3" s="1998"/>
      <c r="C3" s="1998"/>
      <c r="D3" s="1096"/>
      <c r="E3" s="1096"/>
      <c r="F3" s="1096"/>
      <c r="G3" s="1096"/>
      <c r="H3" s="1096"/>
      <c r="I3" s="1096"/>
      <c r="J3" s="1096"/>
      <c r="K3" s="1096"/>
      <c r="L3" s="1096"/>
      <c r="M3" s="1096"/>
      <c r="N3" s="305"/>
      <c r="O3" s="305"/>
      <c r="P3" s="305"/>
      <c r="Q3" s="305"/>
      <c r="R3" s="305"/>
    </row>
    <row r="4" spans="1:18">
      <c r="A4" s="1097"/>
      <c r="B4" s="1097"/>
      <c r="C4" s="1097"/>
      <c r="D4" s="1098"/>
      <c r="E4" s="1098"/>
      <c r="F4" s="1098"/>
      <c r="G4" s="1098"/>
      <c r="H4" s="1098"/>
      <c r="I4" s="1098"/>
      <c r="J4" s="1098"/>
      <c r="K4" s="1098"/>
      <c r="L4" s="1098"/>
      <c r="M4" s="1098"/>
      <c r="N4" s="1098"/>
      <c r="O4" s="1098"/>
      <c r="P4" s="1098"/>
      <c r="Q4" s="1098"/>
      <c r="R4" s="1098"/>
    </row>
    <row r="5" spans="1:18" ht="32.25" customHeight="1">
      <c r="A5" s="305"/>
      <c r="B5" s="1999" t="s">
        <v>1288</v>
      </c>
      <c r="C5" s="1999"/>
      <c r="D5" s="305"/>
      <c r="E5" s="305"/>
      <c r="F5" s="305"/>
      <c r="G5" s="305"/>
      <c r="H5" s="305"/>
      <c r="I5" s="305"/>
      <c r="J5" s="305"/>
      <c r="K5" s="305"/>
      <c r="L5" s="305"/>
      <c r="M5" s="305"/>
      <c r="N5" s="305"/>
      <c r="O5" s="305"/>
      <c r="P5" s="305"/>
      <c r="Q5" s="305"/>
      <c r="R5" s="305"/>
    </row>
    <row r="6" spans="1:18">
      <c r="A6" s="305"/>
      <c r="B6" s="328" t="s">
        <v>2190</v>
      </c>
      <c r="C6" s="305"/>
      <c r="D6" s="1236"/>
      <c r="E6" s="305"/>
      <c r="F6" s="305"/>
      <c r="G6" s="305"/>
      <c r="H6" s="305"/>
      <c r="I6" s="305"/>
      <c r="J6" s="305"/>
      <c r="K6" s="305"/>
      <c r="L6" s="305"/>
      <c r="M6" s="305"/>
      <c r="N6" s="305"/>
      <c r="O6" s="305"/>
      <c r="P6" s="305"/>
      <c r="Q6" s="305"/>
      <c r="R6" s="305"/>
    </row>
    <row r="7" spans="1:18">
      <c r="A7" s="305"/>
      <c r="B7" s="473"/>
      <c r="C7" s="305"/>
      <c r="D7" s="305"/>
      <c r="E7" s="305"/>
      <c r="F7" s="305"/>
      <c r="G7" s="305"/>
      <c r="H7" s="305"/>
      <c r="I7" s="305"/>
      <c r="J7" s="305"/>
      <c r="K7" s="305"/>
      <c r="L7" s="305"/>
      <c r="M7" s="305"/>
      <c r="N7" s="305"/>
      <c r="O7" s="305"/>
      <c r="P7" s="305"/>
      <c r="Q7" s="305"/>
      <c r="R7" s="305"/>
    </row>
    <row r="8" spans="1:18">
      <c r="A8" s="305"/>
      <c r="B8" s="305"/>
      <c r="C8" s="305"/>
      <c r="D8" s="305"/>
      <c r="E8" s="305"/>
      <c r="F8" s="305"/>
      <c r="G8" s="305"/>
      <c r="H8" s="305"/>
      <c r="I8" s="305"/>
      <c r="J8" s="305"/>
      <c r="K8" s="305"/>
      <c r="L8" s="305"/>
      <c r="M8" s="305"/>
      <c r="N8" s="305"/>
      <c r="O8" s="305"/>
      <c r="P8" s="305"/>
      <c r="Q8" s="305"/>
      <c r="R8" s="305"/>
    </row>
    <row r="9" spans="1:18">
      <c r="A9" s="1237"/>
      <c r="B9" s="1238" t="s">
        <v>1289</v>
      </c>
      <c r="C9" s="1239" t="s">
        <v>1290</v>
      </c>
      <c r="D9" s="1237"/>
      <c r="E9" s="1237"/>
      <c r="F9" s="1237"/>
      <c r="G9" s="1237"/>
      <c r="H9" s="1237"/>
      <c r="I9" s="1237"/>
      <c r="J9" s="1237"/>
      <c r="K9" s="1237"/>
      <c r="L9" s="1237"/>
      <c r="M9" s="1237"/>
      <c r="N9" s="1237"/>
      <c r="O9" s="1237"/>
      <c r="P9" s="1237"/>
      <c r="Q9" s="1237"/>
      <c r="R9" s="1237"/>
    </row>
    <row r="10" spans="1:18">
      <c r="A10" s="305"/>
      <c r="B10" s="1240" t="s">
        <v>2091</v>
      </c>
      <c r="C10" s="1241">
        <v>27811.03</v>
      </c>
      <c r="D10" s="305"/>
      <c r="E10" s="1532"/>
      <c r="F10" s="305"/>
      <c r="G10" s="305"/>
      <c r="H10" s="305"/>
      <c r="I10" s="305"/>
      <c r="J10" s="305"/>
      <c r="K10" s="305"/>
      <c r="L10" s="305"/>
      <c r="M10" s="305"/>
      <c r="N10" s="305"/>
      <c r="O10" s="305"/>
      <c r="P10" s="305"/>
      <c r="Q10" s="305"/>
      <c r="R10" s="305"/>
    </row>
    <row r="11" spans="1:18">
      <c r="A11" s="305"/>
      <c r="B11" s="1240" t="s">
        <v>2092</v>
      </c>
      <c r="C11" s="1241">
        <v>5116979.2499999972</v>
      </c>
      <c r="D11" s="305"/>
      <c r="E11" s="1532"/>
      <c r="F11" s="305"/>
      <c r="G11" s="305"/>
      <c r="H11" s="305"/>
      <c r="I11" s="305"/>
      <c r="J11" s="305"/>
      <c r="K11" s="305"/>
      <c r="L11" s="305"/>
      <c r="M11" s="305"/>
      <c r="N11" s="305"/>
      <c r="O11" s="305"/>
      <c r="P11" s="305"/>
      <c r="Q11" s="305"/>
      <c r="R11" s="305"/>
    </row>
    <row r="12" spans="1:18">
      <c r="A12" s="305"/>
      <c r="B12" s="1240" t="s">
        <v>2093</v>
      </c>
      <c r="C12" s="1241">
        <v>1611374.8700000003</v>
      </c>
      <c r="D12" s="305"/>
      <c r="E12" s="1532"/>
      <c r="F12" s="305"/>
      <c r="G12" s="305"/>
      <c r="H12" s="305"/>
      <c r="I12" s="305"/>
      <c r="J12" s="305"/>
      <c r="K12" s="305"/>
      <c r="L12" s="305"/>
      <c r="M12" s="305"/>
      <c r="N12" s="305"/>
      <c r="O12" s="305"/>
      <c r="P12" s="305"/>
      <c r="Q12" s="305"/>
      <c r="R12" s="305"/>
    </row>
    <row r="13" spans="1:18">
      <c r="A13" s="305"/>
      <c r="B13" s="1240" t="s">
        <v>2094</v>
      </c>
      <c r="C13" s="1241">
        <v>1176171.2799999998</v>
      </c>
      <c r="D13" s="305"/>
      <c r="E13" s="1532"/>
      <c r="F13" s="305"/>
      <c r="G13" s="305"/>
      <c r="H13" s="305"/>
      <c r="I13" s="305"/>
      <c r="J13" s="305"/>
      <c r="K13" s="305"/>
      <c r="L13" s="305"/>
      <c r="M13" s="305"/>
      <c r="N13" s="305"/>
      <c r="O13" s="305"/>
      <c r="P13" s="305"/>
      <c r="Q13" s="305"/>
      <c r="R13" s="305"/>
    </row>
    <row r="14" spans="1:18">
      <c r="A14" s="305"/>
      <c r="B14" s="1240" t="s">
        <v>2095</v>
      </c>
      <c r="C14" s="1241">
        <v>2726071.6600000006</v>
      </c>
      <c r="D14" s="305"/>
      <c r="E14" s="1532"/>
      <c r="F14" s="305"/>
      <c r="G14" s="305"/>
      <c r="H14" s="305"/>
      <c r="I14" s="305"/>
      <c r="J14" s="305"/>
      <c r="K14" s="305"/>
      <c r="L14" s="305"/>
      <c r="M14" s="305"/>
      <c r="N14" s="305"/>
      <c r="O14" s="305"/>
      <c r="P14" s="305"/>
      <c r="Q14" s="305"/>
      <c r="R14" s="305"/>
    </row>
    <row r="15" spans="1:18">
      <c r="A15" s="305"/>
      <c r="B15" s="1240" t="s">
        <v>2096</v>
      </c>
      <c r="C15" s="1241">
        <v>73422.62999999999</v>
      </c>
      <c r="D15" s="305"/>
      <c r="E15" s="1532"/>
      <c r="F15" s="305"/>
      <c r="G15" s="305"/>
      <c r="H15" s="305"/>
      <c r="I15" s="305"/>
      <c r="J15" s="305"/>
      <c r="K15" s="305"/>
      <c r="L15" s="305"/>
      <c r="M15" s="305"/>
      <c r="N15" s="305"/>
      <c r="O15" s="305"/>
      <c r="P15" s="305"/>
      <c r="Q15" s="305"/>
      <c r="R15" s="305"/>
    </row>
    <row r="16" spans="1:18">
      <c r="A16" s="305"/>
      <c r="B16" s="1240" t="s">
        <v>2097</v>
      </c>
      <c r="C16" s="1241">
        <v>312666.23000000004</v>
      </c>
      <c r="D16" s="305"/>
      <c r="E16" s="1532"/>
      <c r="F16" s="305"/>
      <c r="G16" s="305"/>
      <c r="H16" s="305"/>
      <c r="I16" s="305"/>
      <c r="J16" s="305"/>
      <c r="K16" s="305"/>
      <c r="L16" s="305"/>
      <c r="M16" s="305"/>
      <c r="N16" s="305"/>
      <c r="O16" s="305"/>
      <c r="P16" s="305"/>
      <c r="Q16" s="305"/>
      <c r="R16" s="305"/>
    </row>
    <row r="17" spans="1:18">
      <c r="A17" s="305"/>
      <c r="B17" s="1240" t="s">
        <v>2098</v>
      </c>
      <c r="C17" s="1241">
        <v>2072992.1</v>
      </c>
      <c r="D17" s="305"/>
      <c r="E17" s="1532"/>
      <c r="F17" s="305"/>
      <c r="G17" s="305"/>
      <c r="H17" s="305"/>
      <c r="I17" s="305"/>
      <c r="J17" s="305"/>
      <c r="K17" s="305"/>
      <c r="L17" s="305"/>
      <c r="M17" s="305"/>
      <c r="N17" s="305"/>
      <c r="O17" s="305"/>
      <c r="P17" s="305"/>
      <c r="Q17" s="305"/>
      <c r="R17" s="305"/>
    </row>
    <row r="18" spans="1:18">
      <c r="A18" s="305"/>
      <c r="B18" s="1240" t="s">
        <v>2099</v>
      </c>
      <c r="C18" s="1241">
        <v>1137625.0900000001</v>
      </c>
      <c r="D18" s="305"/>
      <c r="E18" s="1532"/>
      <c r="F18" s="305"/>
      <c r="G18" s="305"/>
      <c r="H18" s="305"/>
      <c r="I18" s="305"/>
      <c r="J18" s="305"/>
      <c r="K18" s="305"/>
      <c r="L18" s="305"/>
      <c r="M18" s="305"/>
      <c r="N18" s="305"/>
      <c r="O18" s="305"/>
      <c r="P18" s="305"/>
      <c r="Q18" s="305"/>
      <c r="R18" s="305"/>
    </row>
    <row r="19" spans="1:18">
      <c r="A19" s="305"/>
      <c r="B19" s="1240" t="s">
        <v>2100</v>
      </c>
      <c r="C19" s="1241">
        <v>274162.54999999993</v>
      </c>
      <c r="D19" s="305"/>
      <c r="E19" s="1532"/>
      <c r="F19" s="305"/>
      <c r="G19" s="305"/>
      <c r="H19" s="305"/>
      <c r="I19" s="305"/>
      <c r="J19" s="305"/>
      <c r="K19" s="305"/>
      <c r="L19" s="305"/>
      <c r="M19" s="305"/>
      <c r="N19" s="305"/>
      <c r="O19" s="305"/>
      <c r="P19" s="305"/>
      <c r="Q19" s="305"/>
      <c r="R19" s="305"/>
    </row>
    <row r="20" spans="1:18">
      <c r="A20" s="305"/>
      <c r="B20" s="1240" t="s">
        <v>2101</v>
      </c>
      <c r="C20" s="1241">
        <v>167406435.87000012</v>
      </c>
      <c r="D20" s="305"/>
      <c r="E20" s="1532"/>
      <c r="F20" s="305"/>
      <c r="G20" s="305"/>
      <c r="H20" s="305"/>
      <c r="I20" s="305"/>
      <c r="J20" s="305"/>
      <c r="K20" s="305"/>
      <c r="L20" s="305"/>
      <c r="M20" s="305"/>
      <c r="N20" s="305"/>
      <c r="O20" s="305"/>
      <c r="P20" s="305"/>
      <c r="Q20" s="305"/>
      <c r="R20" s="305"/>
    </row>
    <row r="21" spans="1:18">
      <c r="A21" s="305"/>
      <c r="B21" s="1242" t="s">
        <v>1291</v>
      </c>
      <c r="C21" s="1243">
        <f>SUM(C10:C20)</f>
        <v>181935712.56000012</v>
      </c>
      <c r="D21" s="305"/>
      <c r="E21" s="305"/>
      <c r="F21" s="305"/>
      <c r="G21" s="305"/>
      <c r="H21" s="305"/>
      <c r="I21" s="305"/>
      <c r="J21" s="305"/>
      <c r="K21" s="305"/>
      <c r="L21" s="305"/>
      <c r="M21" s="305"/>
      <c r="N21" s="305"/>
      <c r="O21" s="305"/>
      <c r="P21" s="305"/>
      <c r="Q21" s="305"/>
      <c r="R21" s="305"/>
    </row>
    <row r="22" spans="1:18">
      <c r="A22" s="305"/>
      <c r="B22" s="332"/>
      <c r="C22" s="1244"/>
      <c r="D22" s="305"/>
      <c r="E22" s="305"/>
      <c r="F22" s="305"/>
      <c r="G22" s="305"/>
      <c r="H22" s="305"/>
      <c r="I22" s="305"/>
      <c r="J22" s="305"/>
      <c r="K22" s="305"/>
      <c r="L22" s="305"/>
      <c r="M22" s="305"/>
      <c r="N22" s="305"/>
      <c r="O22" s="305"/>
      <c r="P22" s="305"/>
      <c r="Q22" s="305"/>
      <c r="R22" s="305"/>
    </row>
    <row r="23" spans="1:18">
      <c r="A23" s="305"/>
      <c r="B23" s="1242" t="s">
        <v>1292</v>
      </c>
      <c r="C23" s="1245">
        <f>SUM( Inputs!E101,Inputs!E102,Inputs!E103)</f>
        <v>190439115.67992097</v>
      </c>
      <c r="D23" s="305"/>
      <c r="E23" s="328" t="s">
        <v>1293</v>
      </c>
      <c r="F23" s="305"/>
      <c r="G23" s="305"/>
      <c r="H23" s="305"/>
      <c r="I23" s="305"/>
      <c r="J23" s="305"/>
      <c r="K23" s="305"/>
      <c r="L23" s="305"/>
      <c r="M23" s="305"/>
      <c r="N23" s="305"/>
      <c r="O23" s="305"/>
      <c r="P23" s="305"/>
      <c r="Q23" s="305"/>
      <c r="R23" s="305"/>
    </row>
    <row r="24" spans="1:18">
      <c r="A24" s="305"/>
      <c r="B24" s="305"/>
      <c r="C24" s="305"/>
      <c r="D24" s="305"/>
      <c r="E24" s="305"/>
      <c r="F24" s="305"/>
      <c r="G24" s="305"/>
      <c r="H24" s="305"/>
      <c r="I24" s="305"/>
      <c r="J24" s="305"/>
      <c r="K24" s="305"/>
      <c r="L24" s="305"/>
      <c r="M24" s="305"/>
      <c r="N24" s="305"/>
      <c r="O24" s="305"/>
      <c r="P24" s="305"/>
      <c r="Q24" s="305"/>
      <c r="R24" s="305"/>
    </row>
    <row r="25" spans="1:18">
      <c r="A25" s="305"/>
      <c r="B25" s="1242" t="s">
        <v>1294</v>
      </c>
      <c r="C25" s="1245">
        <v>10110712.27</v>
      </c>
      <c r="D25" s="305"/>
      <c r="E25" s="1532"/>
      <c r="F25" s="305"/>
      <c r="G25" s="305"/>
      <c r="H25" s="305"/>
      <c r="I25" s="305"/>
      <c r="J25" s="305"/>
      <c r="K25" s="305"/>
      <c r="L25" s="305"/>
      <c r="M25" s="305"/>
      <c r="N25" s="305"/>
      <c r="O25" s="305"/>
      <c r="P25" s="305"/>
      <c r="Q25" s="305"/>
      <c r="R25" s="305"/>
    </row>
    <row r="26" spans="1:18">
      <c r="A26" s="305"/>
      <c r="B26" s="305"/>
      <c r="C26" s="305"/>
      <c r="D26" s="305"/>
      <c r="E26" s="305"/>
      <c r="F26" s="305"/>
      <c r="G26" s="305"/>
      <c r="H26" s="305"/>
      <c r="I26" s="305"/>
      <c r="J26" s="305"/>
      <c r="K26" s="305"/>
      <c r="L26" s="305"/>
      <c r="M26" s="305"/>
      <c r="N26" s="305"/>
      <c r="O26" s="305"/>
      <c r="P26" s="305"/>
      <c r="Q26" s="305"/>
      <c r="R26" s="305"/>
    </row>
    <row r="27" spans="1:18" ht="15.75" thickBot="1">
      <c r="A27" s="305"/>
      <c r="B27" s="1246" t="s">
        <v>1295</v>
      </c>
      <c r="C27" s="1247">
        <f>SUM(C21,C23,C25)</f>
        <v>382485540.50992107</v>
      </c>
      <c r="D27" s="305"/>
      <c r="E27" s="328" t="s">
        <v>1296</v>
      </c>
      <c r="F27" s="305"/>
      <c r="G27" s="305"/>
      <c r="H27" s="305"/>
      <c r="I27" s="305"/>
      <c r="J27" s="305"/>
      <c r="K27" s="305"/>
      <c r="L27" s="305"/>
      <c r="M27" s="305"/>
      <c r="N27" s="305"/>
      <c r="O27" s="305"/>
      <c r="P27" s="305"/>
      <c r="Q27" s="305"/>
      <c r="R27" s="305"/>
    </row>
    <row r="28" spans="1:18" ht="15.75" thickTop="1">
      <c r="A28" s="305"/>
      <c r="B28" s="305"/>
      <c r="C28" s="305"/>
      <c r="D28" s="305"/>
      <c r="E28" s="305"/>
      <c r="F28" s="305"/>
      <c r="G28" s="305"/>
      <c r="H28" s="305"/>
      <c r="I28" s="305"/>
      <c r="J28" s="305"/>
      <c r="K28" s="305"/>
      <c r="L28" s="305"/>
      <c r="M28" s="305"/>
      <c r="N28" s="305"/>
      <c r="O28" s="305"/>
      <c r="P28" s="305"/>
      <c r="Q28" s="305"/>
      <c r="R28" s="305"/>
    </row>
    <row r="29" spans="1:18">
      <c r="A29" s="305"/>
      <c r="B29" s="305"/>
      <c r="C29" s="305"/>
      <c r="D29" s="305"/>
      <c r="E29" s="305"/>
      <c r="F29" s="305"/>
      <c r="G29" s="305"/>
      <c r="H29" s="305"/>
      <c r="I29" s="305"/>
      <c r="J29" s="305"/>
      <c r="K29" s="305"/>
      <c r="L29" s="305"/>
      <c r="M29" s="305"/>
      <c r="N29" s="305"/>
      <c r="O29" s="305"/>
      <c r="P29" s="305"/>
      <c r="Q29" s="305"/>
      <c r="R29" s="305"/>
    </row>
    <row r="30" spans="1:18">
      <c r="A30" s="305"/>
      <c r="B30" s="305"/>
      <c r="C30" s="305"/>
      <c r="D30" s="305"/>
      <c r="E30" s="305"/>
      <c r="F30" s="305"/>
      <c r="G30" s="305"/>
      <c r="H30" s="305"/>
      <c r="I30" s="305"/>
      <c r="J30" s="305"/>
      <c r="K30" s="305"/>
      <c r="L30" s="305"/>
      <c r="M30" s="305"/>
      <c r="N30" s="305"/>
      <c r="O30" s="305"/>
      <c r="P30" s="305"/>
      <c r="Q30" s="305"/>
      <c r="R30" s="305"/>
    </row>
    <row r="31" spans="1:18">
      <c r="A31" s="305"/>
      <c r="B31" s="305"/>
      <c r="C31" s="305"/>
      <c r="D31" s="305"/>
      <c r="E31" s="305"/>
      <c r="F31" s="305"/>
      <c r="G31" s="305"/>
      <c r="H31" s="305"/>
      <c r="I31" s="305"/>
      <c r="J31" s="305"/>
      <c r="K31" s="305"/>
      <c r="L31" s="305"/>
      <c r="M31" s="305"/>
      <c r="N31" s="305"/>
      <c r="O31" s="305"/>
      <c r="P31" s="305"/>
      <c r="Q31" s="305"/>
      <c r="R31" s="305"/>
    </row>
    <row r="32" spans="1:18">
      <c r="A32" s="305"/>
      <c r="B32" s="305"/>
      <c r="C32" s="305"/>
      <c r="D32" s="305"/>
      <c r="E32" s="305"/>
      <c r="F32" s="305"/>
      <c r="G32" s="305"/>
      <c r="H32" s="305"/>
      <c r="I32" s="305"/>
      <c r="J32" s="305"/>
      <c r="K32" s="305"/>
      <c r="L32" s="305"/>
      <c r="M32" s="305"/>
      <c r="N32" s="305"/>
      <c r="O32" s="305"/>
      <c r="P32" s="305"/>
      <c r="Q32" s="305"/>
      <c r="R32" s="305"/>
    </row>
    <row r="33" spans="1:18">
      <c r="A33" s="305"/>
      <c r="B33" s="305"/>
      <c r="C33" s="305"/>
      <c r="D33" s="305"/>
      <c r="E33" s="305"/>
      <c r="F33" s="305"/>
      <c r="G33" s="305"/>
      <c r="H33" s="305"/>
      <c r="I33" s="305"/>
      <c r="J33" s="305"/>
      <c r="K33" s="305"/>
      <c r="L33" s="305"/>
      <c r="M33" s="305"/>
      <c r="N33" s="305"/>
      <c r="O33" s="305"/>
      <c r="P33" s="305"/>
      <c r="Q33" s="305"/>
      <c r="R33" s="305"/>
    </row>
    <row r="34" spans="1:18">
      <c r="A34" s="305"/>
      <c r="B34" s="305"/>
      <c r="C34" s="305"/>
      <c r="D34" s="305"/>
      <c r="E34" s="305"/>
      <c r="F34" s="305"/>
      <c r="G34" s="305"/>
      <c r="H34" s="305"/>
      <c r="I34" s="305"/>
      <c r="J34" s="305"/>
      <c r="K34" s="305"/>
      <c r="L34" s="305"/>
      <c r="M34" s="305"/>
      <c r="N34" s="305"/>
      <c r="O34" s="305"/>
      <c r="P34" s="305"/>
      <c r="Q34" s="305"/>
      <c r="R34" s="305"/>
    </row>
  </sheetData>
  <mergeCells count="4">
    <mergeCell ref="B1:C1"/>
    <mergeCell ref="B2:C2"/>
    <mergeCell ref="B3:C3"/>
    <mergeCell ref="B5:C5"/>
  </mergeCells>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XFD99"/>
  <sheetViews>
    <sheetView topLeftCell="A23" zoomScaleNormal="100" workbookViewId="0">
      <selection activeCell="AF54" sqref="AF54"/>
    </sheetView>
  </sheetViews>
  <sheetFormatPr defaultRowHeight="15" outlineLevelCol="1"/>
  <cols>
    <col min="1" max="1" width="57.7109375" customWidth="1"/>
    <col min="2" max="2" width="30.140625" customWidth="1"/>
    <col min="3" max="3" width="19.7109375" customWidth="1"/>
    <col min="4" max="4" width="3.85546875" customWidth="1"/>
    <col min="5" max="6" width="13.7109375" customWidth="1"/>
    <col min="7" max="7" width="1.5703125" customWidth="1"/>
    <col min="8" max="8" width="15" customWidth="1"/>
    <col min="9" max="9" width="15.7109375" customWidth="1"/>
    <col min="10" max="10" width="4.28515625" customWidth="1"/>
    <col min="11" max="11" width="14.7109375" customWidth="1"/>
    <col min="12" max="12" width="10.28515625" hidden="1" customWidth="1" outlineLevel="1"/>
    <col min="13" max="13" width="11.7109375" hidden="1" customWidth="1" outlineLevel="1"/>
    <col min="14" max="19" width="10.28515625" hidden="1" customWidth="1" outlineLevel="1"/>
    <col min="20" max="20" width="13.42578125" hidden="1" customWidth="1" outlineLevel="1"/>
    <col min="21" max="21" width="10.28515625" hidden="1" customWidth="1" outlineLevel="1"/>
    <col min="22" max="22" width="13.140625" hidden="1" customWidth="1" outlineLevel="1"/>
    <col min="23" max="23" width="14.7109375" customWidth="1" collapsed="1"/>
    <col min="24" max="24" width="1.5703125" customWidth="1"/>
    <col min="25" max="25" width="18.140625" customWidth="1"/>
    <col min="26" max="26" width="1.7109375" customWidth="1"/>
    <col min="27" max="27" width="16.140625" customWidth="1"/>
    <col min="28" max="28" width="1.7109375" customWidth="1"/>
    <col min="29" max="32" width="15.7109375" customWidth="1"/>
    <col min="33" max="33" width="17.42578125" customWidth="1"/>
  </cols>
  <sheetData>
    <row r="1" spans="1:16384" ht="15.75">
      <c r="A1" s="1248" t="s">
        <v>2</v>
      </c>
      <c r="B1" s="309"/>
      <c r="C1" s="309"/>
      <c r="D1" s="309"/>
      <c r="E1" s="309"/>
      <c r="F1" s="309"/>
      <c r="G1" s="309"/>
      <c r="H1" s="309"/>
      <c r="I1" s="309"/>
      <c r="J1" s="309"/>
      <c r="K1" s="1249"/>
      <c r="L1" s="1249"/>
      <c r="M1" s="1249"/>
      <c r="N1" s="1249"/>
      <c r="O1" s="1249"/>
      <c r="P1" s="1249"/>
      <c r="Q1" s="1249"/>
      <c r="R1" s="1249"/>
      <c r="S1" s="1249"/>
      <c r="T1" s="1249"/>
      <c r="U1" s="1249"/>
      <c r="V1" s="1249"/>
      <c r="W1" s="1250"/>
      <c r="X1" s="309"/>
      <c r="Y1" s="309"/>
      <c r="Z1" s="309"/>
      <c r="AA1" s="309"/>
      <c r="AB1" s="309"/>
      <c r="AC1" s="309"/>
      <c r="AD1" s="309"/>
      <c r="AE1" s="309"/>
      <c r="AF1" s="309"/>
      <c r="AG1" s="309"/>
      <c r="AH1" s="305"/>
      <c r="AI1" s="305"/>
    </row>
    <row r="2" spans="1:16384" ht="15.75">
      <c r="A2" s="1248" t="s">
        <v>1297</v>
      </c>
      <c r="B2" s="309"/>
      <c r="C2" s="309"/>
      <c r="D2" s="309"/>
      <c r="E2" s="309"/>
      <c r="F2" s="309"/>
      <c r="G2" s="309"/>
      <c r="H2" s="309"/>
      <c r="I2" s="309"/>
      <c r="J2" s="309"/>
      <c r="K2" s="1249"/>
      <c r="L2" s="1249"/>
      <c r="M2" s="1249"/>
      <c r="N2" s="1249"/>
      <c r="O2" s="1249"/>
      <c r="P2" s="1249"/>
      <c r="Q2" s="1249"/>
      <c r="R2" s="1249"/>
      <c r="S2" s="1249"/>
      <c r="T2" s="1249"/>
      <c r="U2" s="1249"/>
      <c r="V2" s="1249"/>
      <c r="W2" s="1250"/>
      <c r="X2" s="309"/>
      <c r="Y2" s="309"/>
      <c r="Z2" s="309"/>
      <c r="AA2" s="309"/>
      <c r="AB2" s="309"/>
      <c r="AC2" s="309"/>
      <c r="AD2" s="309"/>
      <c r="AE2" s="309"/>
      <c r="AF2" s="309"/>
      <c r="AG2" s="309"/>
      <c r="AH2" s="305"/>
      <c r="AI2" s="305"/>
    </row>
    <row r="3" spans="1:16384">
      <c r="A3" s="1251"/>
      <c r="B3" s="305"/>
      <c r="C3" s="305"/>
      <c r="D3" s="343"/>
      <c r="E3" s="343"/>
      <c r="F3" s="343"/>
      <c r="G3" s="343"/>
      <c r="H3" s="343"/>
      <c r="I3" s="343"/>
      <c r="J3" s="343"/>
      <c r="K3" s="1252"/>
      <c r="L3" s="1252"/>
      <c r="M3" s="1252"/>
      <c r="N3" s="1252"/>
      <c r="O3" s="1252"/>
      <c r="P3" s="1252"/>
      <c r="Q3" s="1252"/>
      <c r="R3" s="1252"/>
      <c r="S3" s="1252"/>
      <c r="T3" s="1252"/>
      <c r="U3" s="1252"/>
      <c r="V3" s="1252"/>
      <c r="W3" s="1253"/>
      <c r="X3" s="305"/>
      <c r="Y3" s="305"/>
      <c r="Z3" s="305"/>
      <c r="AA3" s="305"/>
      <c r="AB3" s="305"/>
      <c r="AC3" s="305"/>
      <c r="AD3" s="305"/>
      <c r="AE3" s="305"/>
      <c r="AF3" s="305"/>
      <c r="AG3" s="305"/>
      <c r="AH3" s="305"/>
      <c r="AI3" s="305"/>
    </row>
    <row r="4" spans="1:16384" ht="25.5">
      <c r="A4" s="1254" t="s">
        <v>1298</v>
      </c>
      <c r="B4" s="332"/>
      <c r="C4" s="332"/>
      <c r="D4" s="1255"/>
      <c r="E4" s="329"/>
      <c r="F4" s="329"/>
      <c r="G4" s="329"/>
      <c r="H4" s="329"/>
      <c r="I4" s="329"/>
      <c r="J4" s="329"/>
      <c r="K4" s="1252"/>
      <c r="L4" s="1252"/>
      <c r="M4" s="1252"/>
      <c r="N4" s="1252"/>
      <c r="O4" s="1252"/>
      <c r="P4" s="1252"/>
      <c r="Q4" s="1252"/>
      <c r="R4" s="1252"/>
      <c r="S4" s="1252"/>
      <c r="T4" s="1252"/>
      <c r="U4" s="1252"/>
      <c r="V4" s="1252"/>
      <c r="W4" s="1256"/>
      <c r="X4" s="305"/>
      <c r="Y4" s="305"/>
      <c r="Z4" s="305"/>
      <c r="AA4" s="305"/>
      <c r="AB4" s="305"/>
      <c r="AC4" s="305"/>
      <c r="AD4" s="305"/>
      <c r="AE4" s="305"/>
      <c r="AF4" s="305"/>
      <c r="AG4" s="305"/>
      <c r="AH4" s="305"/>
      <c r="AI4" s="305"/>
    </row>
    <row r="5" spans="1:16384">
      <c r="A5" s="1251" t="s">
        <v>1299</v>
      </c>
      <c r="B5" s="332"/>
      <c r="C5" s="332"/>
      <c r="D5" s="1255"/>
      <c r="E5" s="329"/>
      <c r="F5" s="329"/>
      <c r="G5" s="329"/>
      <c r="H5" s="329"/>
      <c r="I5" s="329"/>
      <c r="J5" s="329"/>
      <c r="K5" s="1252"/>
      <c r="L5" s="1252"/>
      <c r="M5" s="1252"/>
      <c r="N5" s="1252"/>
      <c r="O5" s="1252"/>
      <c r="P5" s="1252"/>
      <c r="Q5" s="1252"/>
      <c r="R5" s="1252"/>
      <c r="S5" s="1252"/>
      <c r="T5" s="1252"/>
      <c r="U5" s="1252"/>
      <c r="V5" s="1252"/>
      <c r="W5" s="1256"/>
      <c r="X5" s="305"/>
      <c r="Y5" s="305"/>
      <c r="Z5" s="305"/>
      <c r="AA5" s="305"/>
      <c r="AB5" s="305"/>
      <c r="AC5" s="305"/>
      <c r="AD5" s="305"/>
      <c r="AE5" s="305"/>
      <c r="AF5" s="305"/>
      <c r="AG5" s="305"/>
      <c r="AH5" s="305"/>
      <c r="AI5" s="305"/>
    </row>
    <row r="6" spans="1:16384">
      <c r="A6" s="1254"/>
      <c r="B6" s="1257"/>
      <c r="C6" s="329"/>
      <c r="D6" s="329"/>
      <c r="E6" s="1258" t="s">
        <v>1300</v>
      </c>
      <c r="F6" s="1258"/>
      <c r="G6" s="329"/>
      <c r="H6" s="2000" t="s">
        <v>1301</v>
      </c>
      <c r="I6" s="2000"/>
      <c r="J6" s="329"/>
      <c r="K6" s="1259" t="s">
        <v>1302</v>
      </c>
      <c r="L6" s="1259" t="s">
        <v>1303</v>
      </c>
      <c r="M6" s="1259"/>
      <c r="N6" s="1259"/>
      <c r="O6" s="1259"/>
      <c r="P6" s="1259"/>
      <c r="Q6" s="1259"/>
      <c r="R6" s="1259"/>
      <c r="S6" s="1259"/>
      <c r="T6" s="1259"/>
      <c r="U6" s="1259"/>
      <c r="V6" s="1259"/>
      <c r="W6" s="1259" t="s">
        <v>845</v>
      </c>
      <c r="X6" s="305"/>
      <c r="Y6" s="1260" t="str">
        <f>Toggle</f>
        <v>Projection</v>
      </c>
      <c r="Z6" s="305"/>
      <c r="AA6" s="305"/>
      <c r="AB6" s="305"/>
      <c r="AC6" s="1258" t="s">
        <v>1304</v>
      </c>
      <c r="AD6" s="1261"/>
      <c r="AE6" s="1261"/>
      <c r="AF6" s="1261"/>
      <c r="AG6" s="305"/>
      <c r="AH6" s="305"/>
      <c r="AI6" s="305"/>
    </row>
    <row r="7" spans="1:16384" ht="51.75">
      <c r="A7" s="1262" t="s">
        <v>284</v>
      </c>
      <c r="B7" s="1263" t="s">
        <v>1305</v>
      </c>
      <c r="C7" s="340" t="s">
        <v>1306</v>
      </c>
      <c r="D7" s="341"/>
      <c r="E7" s="340" t="s">
        <v>1307</v>
      </c>
      <c r="F7" s="340" t="s">
        <v>1179</v>
      </c>
      <c r="G7" s="341"/>
      <c r="H7" s="340" t="s">
        <v>1307</v>
      </c>
      <c r="I7" s="340" t="s">
        <v>1179</v>
      </c>
      <c r="J7" s="341"/>
      <c r="K7" s="1264" t="s">
        <v>1308</v>
      </c>
      <c r="L7" s="1264" t="s">
        <v>1309</v>
      </c>
      <c r="M7" s="1264" t="s">
        <v>1310</v>
      </c>
      <c r="N7" s="1264" t="s">
        <v>1311</v>
      </c>
      <c r="O7" s="1264" t="s">
        <v>1312</v>
      </c>
      <c r="P7" s="1264" t="s">
        <v>1313</v>
      </c>
      <c r="Q7" s="1264" t="s">
        <v>1314</v>
      </c>
      <c r="R7" s="1264" t="s">
        <v>1315</v>
      </c>
      <c r="S7" s="1264" t="s">
        <v>1316</v>
      </c>
      <c r="T7" s="1264" t="s">
        <v>1317</v>
      </c>
      <c r="U7" s="1264" t="s">
        <v>1318</v>
      </c>
      <c r="V7" s="1264" t="s">
        <v>1319</v>
      </c>
      <c r="W7" s="1264" t="s">
        <v>1308</v>
      </c>
      <c r="X7" s="305"/>
      <c r="Y7" s="1265" t="str">
        <f>IF(Toggle=Projection,"Beg-/End-of-Year Average",IF(Toggle=True_up,"13-month Average","Set Toggle!"))</f>
        <v>Beg-/End-of-Year Average</v>
      </c>
      <c r="Z7" s="305"/>
      <c r="AA7" s="338" t="s">
        <v>1189</v>
      </c>
      <c r="AB7" s="305"/>
      <c r="AC7" s="340" t="s">
        <v>1191</v>
      </c>
      <c r="AD7" s="341" t="s">
        <v>1320</v>
      </c>
      <c r="AE7" s="341" t="s">
        <v>361</v>
      </c>
      <c r="AF7" s="341" t="s">
        <v>895</v>
      </c>
      <c r="AG7" s="340" t="s">
        <v>1321</v>
      </c>
      <c r="AH7" s="305"/>
      <c r="AI7" s="305"/>
    </row>
    <row r="8" spans="1:16384">
      <c r="A8" s="1266" t="s">
        <v>2501</v>
      </c>
      <c r="B8" s="1266" t="s">
        <v>2502</v>
      </c>
      <c r="C8" s="1266" t="s">
        <v>2503</v>
      </c>
      <c r="D8" s="460"/>
      <c r="E8" s="1908">
        <v>248020</v>
      </c>
      <c r="F8" s="1908">
        <v>242</v>
      </c>
      <c r="G8" s="1908">
        <v>0</v>
      </c>
      <c r="H8" s="1908" t="s">
        <v>2504</v>
      </c>
      <c r="I8" s="1908">
        <v>555</v>
      </c>
      <c r="J8" s="305"/>
      <c r="K8" s="1267">
        <v>-29.684252699999998</v>
      </c>
      <c r="L8" s="1267">
        <v>-30.86682489</v>
      </c>
      <c r="M8" s="1267">
        <v>-29.684252699999998</v>
      </c>
      <c r="N8" s="1267">
        <v>-32.91497408</v>
      </c>
      <c r="O8" s="1267">
        <v>-32.91497408</v>
      </c>
      <c r="P8" s="1267">
        <v>-32.91497408</v>
      </c>
      <c r="Q8" s="1267">
        <v>-36.071325259999995</v>
      </c>
      <c r="R8" s="1267">
        <v>-36.071325259999995</v>
      </c>
      <c r="S8" s="1267">
        <v>-36.071325259999995</v>
      </c>
      <c r="T8" s="1267">
        <v>-39.881417759999998</v>
      </c>
      <c r="U8" s="1267">
        <v>-39.881417759999998</v>
      </c>
      <c r="V8" s="1267">
        <v>-10.557757079999998</v>
      </c>
      <c r="W8" s="1267">
        <v>-11.831208089999999</v>
      </c>
      <c r="X8" s="454"/>
      <c r="Y8" s="1268">
        <f t="shared" ref="Y8:Y58" si="0">IF(Toggle=Projection,AVERAGE(K8,W8),IF(Toggle=True_up,AVERAGE(K8:W8),"Set Toggle!"))</f>
        <v>-20.757730394999999</v>
      </c>
      <c r="Z8" s="305"/>
      <c r="AA8" s="1269" t="s">
        <v>895</v>
      </c>
      <c r="AB8" s="305"/>
      <c r="AC8" s="1270" t="str">
        <f t="shared" ref="AC8:AF23" si="1">IF($AA8=AC$7,$Y8,"")</f>
        <v/>
      </c>
      <c r="AD8" s="1270" t="str">
        <f t="shared" si="1"/>
        <v/>
      </c>
      <c r="AE8" s="1270" t="str">
        <f t="shared" si="1"/>
        <v/>
      </c>
      <c r="AF8" s="1270">
        <f t="shared" si="1"/>
        <v>-20.757730394999999</v>
      </c>
      <c r="AG8" s="460"/>
      <c r="AH8" s="460"/>
      <c r="AI8" s="450"/>
      <c r="AJ8" s="1857"/>
      <c r="AK8" s="1857"/>
      <c r="AL8" s="1857"/>
      <c r="AM8" s="1857"/>
      <c r="AN8" s="1857"/>
      <c r="AO8" s="1857"/>
      <c r="AP8" s="1857"/>
      <c r="AQ8" s="1857"/>
      <c r="AR8" s="1857"/>
      <c r="AS8" s="1857"/>
      <c r="AT8" s="1857"/>
      <c r="AU8" s="1857"/>
      <c r="AV8" s="1857"/>
      <c r="AW8" s="454"/>
      <c r="AX8" s="1858"/>
      <c r="AY8" s="449"/>
      <c r="AZ8" s="449"/>
      <c r="BA8" s="449"/>
      <c r="BB8" s="460"/>
      <c r="BC8" s="460"/>
      <c r="BD8" s="460"/>
      <c r="BE8" s="460"/>
      <c r="BF8" s="460"/>
      <c r="BG8" s="460"/>
      <c r="BH8" s="450"/>
      <c r="BI8" s="1857"/>
      <c r="BJ8" s="1857"/>
      <c r="BK8" s="1857"/>
      <c r="BL8" s="1857"/>
      <c r="BM8" s="1857"/>
      <c r="BN8" s="1857"/>
      <c r="BO8" s="1857"/>
      <c r="BP8" s="1857"/>
      <c r="BQ8" s="1857"/>
      <c r="BR8" s="1857"/>
      <c r="BS8" s="1857"/>
      <c r="BT8" s="1857"/>
      <c r="BU8" s="1857"/>
      <c r="BV8" s="454"/>
      <c r="BW8" s="1858"/>
      <c r="BX8" s="449"/>
      <c r="BY8" s="449"/>
      <c r="BZ8" s="449"/>
      <c r="CA8" s="460"/>
      <c r="CB8" s="460"/>
      <c r="CC8" s="460"/>
      <c r="CD8" s="460"/>
      <c r="CE8" s="460"/>
      <c r="CF8" s="460"/>
      <c r="CG8" s="450"/>
      <c r="CH8" s="1857"/>
      <c r="CI8" s="1857"/>
      <c r="CJ8" s="1857"/>
      <c r="CK8" s="1857"/>
      <c r="CL8" s="1857"/>
      <c r="CM8" s="1857"/>
      <c r="CN8" s="1857"/>
      <c r="CO8" s="1857"/>
      <c r="CP8" s="1857"/>
      <c r="CQ8" s="1857"/>
      <c r="CR8" s="1857"/>
      <c r="CS8" s="1857"/>
      <c r="CT8" s="1857"/>
      <c r="CU8" s="454"/>
      <c r="CV8" s="1858"/>
      <c r="CW8" s="449"/>
      <c r="CX8" s="449"/>
      <c r="CY8" s="449"/>
      <c r="CZ8" s="460"/>
      <c r="DA8" s="460"/>
      <c r="DB8" s="460"/>
      <c r="DC8" s="460"/>
      <c r="DD8" s="460"/>
      <c r="DE8" s="460"/>
      <c r="DF8" s="450"/>
      <c r="DG8" s="1857"/>
      <c r="DH8" s="1857"/>
      <c r="DI8" s="1857"/>
      <c r="DJ8" s="1857"/>
      <c r="DK8" s="1857"/>
      <c r="DL8" s="1857"/>
      <c r="DM8" s="1857"/>
      <c r="DN8" s="1857"/>
      <c r="DO8" s="1857"/>
      <c r="DP8" s="1857"/>
      <c r="DQ8" s="1857"/>
      <c r="DR8" s="1857"/>
      <c r="DS8" s="1857"/>
      <c r="DT8" s="454"/>
      <c r="DU8" s="1858"/>
      <c r="DV8" s="449"/>
      <c r="DW8" s="449"/>
      <c r="DX8" s="449"/>
      <c r="DY8" s="460"/>
      <c r="DZ8" s="460"/>
      <c r="EA8" s="460"/>
      <c r="EB8" s="460"/>
      <c r="EC8" s="460"/>
      <c r="ED8" s="460"/>
      <c r="EE8" s="450"/>
      <c r="EF8" s="1857"/>
      <c r="EG8" s="1857"/>
      <c r="EH8" s="1857"/>
      <c r="EI8" s="1857"/>
      <c r="EJ8" s="1857"/>
      <c r="EK8" s="1857"/>
      <c r="EL8" s="1857"/>
      <c r="EM8" s="1857"/>
      <c r="EN8" s="1857"/>
      <c r="EO8" s="1857"/>
      <c r="EP8" s="1857"/>
      <c r="EQ8" s="1857"/>
      <c r="ER8" s="1857"/>
      <c r="ES8" s="454"/>
      <c r="ET8" s="1858"/>
      <c r="EU8" s="449"/>
      <c r="EV8" s="449"/>
      <c r="EW8" s="449"/>
      <c r="EX8" s="460"/>
      <c r="EY8" s="460"/>
      <c r="EZ8" s="460"/>
      <c r="FA8" s="460"/>
      <c r="FB8" s="460"/>
      <c r="FC8" s="460"/>
      <c r="FD8" s="450"/>
      <c r="FE8" s="1857"/>
      <c r="FF8" s="1857"/>
      <c r="FG8" s="1857"/>
      <c r="FH8" s="1857"/>
      <c r="FI8" s="1857"/>
      <c r="FJ8" s="1857"/>
      <c r="FK8" s="1857"/>
      <c r="FL8" s="1857"/>
      <c r="FM8" s="1857"/>
      <c r="FN8" s="1857"/>
      <c r="FO8" s="1857"/>
      <c r="FP8" s="1857"/>
      <c r="FQ8" s="1857"/>
      <c r="FR8" s="454"/>
      <c r="FS8" s="1858"/>
      <c r="FT8" s="449"/>
      <c r="FU8" s="449"/>
      <c r="FV8" s="449"/>
      <c r="FW8" s="460"/>
      <c r="FX8" s="460"/>
      <c r="FY8" s="460"/>
      <c r="FZ8" s="460"/>
      <c r="GA8" s="460"/>
      <c r="GB8" s="460"/>
      <c r="GC8" s="450"/>
      <c r="GD8" s="1857"/>
      <c r="GE8" s="1857"/>
      <c r="GF8" s="1857"/>
      <c r="GG8" s="1857"/>
      <c r="GH8" s="1857"/>
      <c r="GI8" s="1857"/>
      <c r="GJ8" s="1857"/>
      <c r="GK8" s="1857"/>
      <c r="GL8" s="1857"/>
      <c r="GM8" s="1857"/>
      <c r="GN8" s="1857"/>
      <c r="GO8" s="1857"/>
      <c r="GP8" s="1857"/>
      <c r="GQ8" s="454"/>
      <c r="GR8" s="1858"/>
      <c r="GS8" s="449"/>
      <c r="GT8" s="449"/>
      <c r="GU8" s="449"/>
      <c r="GV8" s="460"/>
      <c r="GW8" s="460"/>
      <c r="GX8" s="460"/>
      <c r="GY8" s="460"/>
      <c r="GZ8" s="460"/>
      <c r="HA8" s="460"/>
      <c r="HB8" s="450"/>
      <c r="HC8" s="1857"/>
      <c r="HD8" s="1857"/>
      <c r="HE8" s="1857"/>
      <c r="HF8" s="1857"/>
      <c r="HG8" s="1857"/>
      <c r="HH8" s="1857"/>
      <c r="HI8" s="1857"/>
      <c r="HJ8" s="1857"/>
      <c r="HK8" s="1857"/>
      <c r="HL8" s="1857"/>
      <c r="HM8" s="1857"/>
      <c r="HN8" s="1857"/>
      <c r="HO8" s="1857"/>
      <c r="HP8" s="454"/>
      <c r="HQ8" s="1858"/>
      <c r="HR8" s="449"/>
      <c r="HS8" s="449"/>
      <c r="HT8" s="449"/>
      <c r="HU8" s="460"/>
      <c r="HV8" s="460"/>
      <c r="HW8" s="460"/>
      <c r="HX8" s="460"/>
      <c r="HY8" s="460"/>
      <c r="HZ8" s="460"/>
      <c r="IA8" s="450"/>
      <c r="IB8" s="1857"/>
      <c r="IC8" s="1857"/>
      <c r="ID8" s="1857"/>
      <c r="IE8" s="1857"/>
      <c r="IF8" s="1857"/>
      <c r="IG8" s="1857"/>
      <c r="IH8" s="1857"/>
      <c r="II8" s="1857"/>
      <c r="IJ8" s="1857"/>
      <c r="IK8" s="1857"/>
      <c r="IL8" s="1857"/>
      <c r="IM8" s="1857"/>
      <c r="IN8" s="1857"/>
      <c r="IO8" s="454"/>
      <c r="IP8" s="1858"/>
      <c r="IQ8" s="449"/>
      <c r="IR8" s="449"/>
      <c r="IS8" s="449"/>
      <c r="IT8" s="460"/>
      <c r="IU8" s="460"/>
      <c r="IV8" s="460"/>
      <c r="IW8" s="460"/>
      <c r="IX8" s="460"/>
      <c r="IY8" s="460"/>
      <c r="IZ8" s="450"/>
      <c r="JA8" s="1857"/>
      <c r="JB8" s="1857"/>
      <c r="JC8" s="1857"/>
      <c r="JD8" s="1857"/>
      <c r="JE8" s="1857"/>
      <c r="JF8" s="1857"/>
      <c r="JG8" s="1857"/>
      <c r="JH8" s="1857"/>
      <c r="JI8" s="1857"/>
      <c r="JJ8" s="1857"/>
      <c r="JK8" s="1857"/>
      <c r="JL8" s="1857"/>
      <c r="JM8" s="1857"/>
      <c r="JN8" s="454"/>
      <c r="JO8" s="1858"/>
      <c r="JP8" s="449"/>
      <c r="JQ8" s="449"/>
      <c r="JR8" s="449"/>
      <c r="JS8" s="460"/>
      <c r="JT8" s="460"/>
      <c r="JU8" s="460"/>
      <c r="JV8" s="460"/>
      <c r="JW8" s="460"/>
      <c r="JX8" s="460"/>
      <c r="JY8" s="450"/>
      <c r="JZ8" s="1857"/>
      <c r="KA8" s="1857"/>
      <c r="KB8" s="1857"/>
      <c r="KC8" s="1857"/>
      <c r="KD8" s="1857"/>
      <c r="KE8" s="1857"/>
      <c r="KF8" s="1857"/>
      <c r="KG8" s="1857"/>
      <c r="KH8" s="1857"/>
      <c r="KI8" s="1857"/>
      <c r="KJ8" s="1857"/>
      <c r="KK8" s="1857"/>
      <c r="KL8" s="1857"/>
      <c r="KM8" s="454"/>
      <c r="KN8" s="1858"/>
      <c r="KO8" s="449"/>
      <c r="KP8" s="449"/>
      <c r="KQ8" s="449"/>
      <c r="KR8" s="460"/>
      <c r="KS8" s="460"/>
      <c r="KT8" s="460"/>
      <c r="KU8" s="460"/>
      <c r="KV8" s="460"/>
      <c r="KW8" s="460"/>
      <c r="KX8" s="450"/>
      <c r="KY8" s="1857"/>
      <c r="KZ8" s="1857"/>
      <c r="LA8" s="1857"/>
      <c r="LB8" s="1857"/>
      <c r="LC8" s="1857"/>
      <c r="LD8" s="1857"/>
      <c r="LE8" s="1857"/>
      <c r="LF8" s="1857"/>
      <c r="LG8" s="1857"/>
      <c r="LH8" s="1857"/>
      <c r="LI8" s="1857"/>
      <c r="LJ8" s="1857"/>
      <c r="LK8" s="1857"/>
      <c r="LL8" s="454"/>
      <c r="LM8" s="1858"/>
      <c r="LN8" s="449"/>
      <c r="LO8" s="449"/>
      <c r="LP8" s="449"/>
      <c r="LQ8" s="460"/>
      <c r="LR8" s="460"/>
      <c r="LS8" s="460"/>
      <c r="LT8" s="460"/>
      <c r="LU8" s="460"/>
      <c r="LV8" s="460"/>
      <c r="LW8" s="450"/>
      <c r="LX8" s="1857"/>
      <c r="LY8" s="1857"/>
      <c r="LZ8" s="1857"/>
      <c r="MA8" s="1857"/>
      <c r="MB8" s="1857"/>
      <c r="MC8" s="1857"/>
      <c r="MD8" s="1857"/>
      <c r="ME8" s="1857"/>
      <c r="MF8" s="1857"/>
      <c r="MG8" s="1857"/>
      <c r="MH8" s="1857"/>
      <c r="MI8" s="1857"/>
      <c r="MJ8" s="1857"/>
      <c r="MK8" s="454"/>
      <c r="ML8" s="1858"/>
      <c r="MM8" s="449"/>
      <c r="MN8" s="449"/>
      <c r="MO8" s="449"/>
      <c r="MP8" s="460"/>
      <c r="MQ8" s="460"/>
      <c r="MR8" s="460"/>
      <c r="MS8" s="460"/>
      <c r="MT8" s="460"/>
      <c r="MU8" s="460"/>
      <c r="MV8" s="450"/>
      <c r="MW8" s="1857"/>
      <c r="MX8" s="1857"/>
      <c r="MY8" s="1857"/>
      <c r="MZ8" s="1857"/>
      <c r="NA8" s="1857"/>
      <c r="NB8" s="1857"/>
      <c r="NC8" s="1857"/>
      <c r="ND8" s="1857"/>
      <c r="NE8" s="1857"/>
      <c r="NF8" s="1857"/>
      <c r="NG8" s="1857"/>
      <c r="NH8" s="1857"/>
      <c r="NI8" s="1857"/>
      <c r="NJ8" s="454"/>
      <c r="NK8" s="1858"/>
      <c r="NL8" s="449"/>
      <c r="NM8" s="449"/>
      <c r="NN8" s="449"/>
      <c r="NO8" s="460"/>
      <c r="NP8" s="460"/>
      <c r="NQ8" s="460"/>
      <c r="NR8" s="460"/>
      <c r="NS8" s="460"/>
      <c r="NT8" s="460"/>
      <c r="NU8" s="450"/>
      <c r="NV8" s="1857"/>
      <c r="NW8" s="1857"/>
      <c r="NX8" s="1857"/>
      <c r="NY8" s="1857"/>
      <c r="NZ8" s="1857"/>
      <c r="OA8" s="1857"/>
      <c r="OB8" s="1857"/>
      <c r="OC8" s="1857"/>
      <c r="OD8" s="1857"/>
      <c r="OE8" s="1857"/>
      <c r="OF8" s="1857"/>
      <c r="OG8" s="1857"/>
      <c r="OH8" s="1857"/>
      <c r="OI8" s="454"/>
      <c r="OJ8" s="1858"/>
      <c r="OK8" s="449"/>
      <c r="OL8" s="449"/>
      <c r="OM8" s="449"/>
      <c r="ON8" s="460"/>
      <c r="OO8" s="460"/>
      <c r="OP8" s="460"/>
      <c r="OQ8" s="460"/>
      <c r="OR8" s="460"/>
      <c r="OS8" s="460"/>
      <c r="OT8" s="450"/>
      <c r="OU8" s="1857"/>
      <c r="OV8" s="1857"/>
      <c r="OW8" s="1857"/>
      <c r="OX8" s="1857"/>
      <c r="OY8" s="1857"/>
      <c r="OZ8" s="1857"/>
      <c r="PA8" s="1857"/>
      <c r="PB8" s="1857"/>
      <c r="PC8" s="1857"/>
      <c r="PD8" s="1857"/>
      <c r="PE8" s="1857"/>
      <c r="PF8" s="1857"/>
      <c r="PG8" s="1857"/>
      <c r="PH8" s="454"/>
      <c r="PI8" s="1858"/>
      <c r="PJ8" s="449"/>
      <c r="PK8" s="449"/>
      <c r="PL8" s="449"/>
      <c r="PM8" s="460"/>
      <c r="PN8" s="460"/>
      <c r="PO8" s="460"/>
      <c r="PP8" s="460"/>
      <c r="PQ8" s="460"/>
      <c r="PR8" s="460"/>
      <c r="PS8" s="450"/>
      <c r="PT8" s="1857"/>
      <c r="PU8" s="1857"/>
      <c r="PV8" s="1857"/>
      <c r="PW8" s="1857"/>
      <c r="PX8" s="1857"/>
      <c r="PY8" s="1857"/>
      <c r="PZ8" s="1857"/>
      <c r="QA8" s="1857"/>
      <c r="QB8" s="1857"/>
      <c r="QC8" s="1857"/>
      <c r="QD8" s="1857"/>
      <c r="QE8" s="1857"/>
      <c r="QF8" s="1857"/>
      <c r="QG8" s="454"/>
      <c r="QH8" s="1858"/>
      <c r="QI8" s="449"/>
      <c r="QJ8" s="449"/>
      <c r="QK8" s="449"/>
      <c r="QL8" s="460"/>
      <c r="QM8" s="460"/>
      <c r="QN8" s="460"/>
      <c r="QO8" s="460"/>
      <c r="QP8" s="460"/>
      <c r="QQ8" s="460"/>
      <c r="QR8" s="450"/>
      <c r="QS8" s="1857"/>
      <c r="QT8" s="1857"/>
      <c r="QU8" s="1857"/>
      <c r="QV8" s="1857"/>
      <c r="QW8" s="1857"/>
      <c r="QX8" s="1857"/>
      <c r="QY8" s="1857"/>
      <c r="QZ8" s="1857"/>
      <c r="RA8" s="1857"/>
      <c r="RB8" s="1857"/>
      <c r="RC8" s="1857"/>
      <c r="RD8" s="1857"/>
      <c r="RE8" s="1857"/>
      <c r="RF8" s="454"/>
      <c r="RG8" s="1858"/>
      <c r="RH8" s="449"/>
      <c r="RI8" s="449"/>
      <c r="RJ8" s="449"/>
      <c r="RK8" s="460"/>
      <c r="RL8" s="460"/>
      <c r="RM8" s="460"/>
      <c r="RN8" s="460"/>
      <c r="RO8" s="460"/>
      <c r="RP8" s="460"/>
      <c r="RQ8" s="450"/>
      <c r="RR8" s="1857"/>
      <c r="RS8" s="1857"/>
      <c r="RT8" s="1857"/>
      <c r="RU8" s="1857"/>
      <c r="RV8" s="1857"/>
      <c r="RW8" s="1857"/>
      <c r="RX8" s="1857"/>
      <c r="RY8" s="1857"/>
      <c r="RZ8" s="1857"/>
      <c r="SA8" s="1857"/>
      <c r="SB8" s="1857"/>
      <c r="SC8" s="1857"/>
      <c r="SD8" s="1857"/>
      <c r="SE8" s="454"/>
      <c r="SF8" s="1858"/>
      <c r="SG8" s="449"/>
      <c r="SH8" s="449"/>
      <c r="SI8" s="449"/>
      <c r="SJ8" s="460"/>
      <c r="SK8" s="460"/>
      <c r="SL8" s="460"/>
      <c r="SM8" s="460"/>
      <c r="SN8" s="460"/>
      <c r="SO8" s="460"/>
      <c r="SP8" s="450"/>
      <c r="SQ8" s="1857"/>
      <c r="SR8" s="1857"/>
      <c r="SS8" s="1857"/>
      <c r="ST8" s="1857"/>
      <c r="SU8" s="1857"/>
      <c r="SV8" s="1857"/>
      <c r="SW8" s="1857"/>
      <c r="SX8" s="1857"/>
      <c r="SY8" s="1857"/>
      <c r="SZ8" s="1857"/>
      <c r="TA8" s="1857"/>
      <c r="TB8" s="1857"/>
      <c r="TC8" s="1857"/>
      <c r="TD8" s="454"/>
      <c r="TE8" s="1858"/>
      <c r="TF8" s="449"/>
      <c r="TG8" s="449"/>
      <c r="TH8" s="449"/>
      <c r="TI8" s="460"/>
      <c r="TJ8" s="460"/>
      <c r="TK8" s="460"/>
      <c r="TL8" s="460"/>
      <c r="TM8" s="460"/>
      <c r="TN8" s="460"/>
      <c r="TO8" s="450"/>
      <c r="TP8" s="1857"/>
      <c r="TQ8" s="1857"/>
      <c r="TR8" s="1857"/>
      <c r="TS8" s="1857"/>
      <c r="TT8" s="1857"/>
      <c r="TU8" s="1857"/>
      <c r="TV8" s="1857"/>
      <c r="TW8" s="1857"/>
      <c r="TX8" s="1857"/>
      <c r="TY8" s="1857"/>
      <c r="TZ8" s="1857"/>
      <c r="UA8" s="1857"/>
      <c r="UB8" s="1857"/>
      <c r="UC8" s="454"/>
      <c r="UD8" s="1858"/>
      <c r="UE8" s="449"/>
      <c r="UF8" s="449"/>
      <c r="UG8" s="449"/>
      <c r="UH8" s="460"/>
      <c r="UI8" s="460"/>
      <c r="UJ8" s="460"/>
      <c r="UK8" s="460"/>
      <c r="UL8" s="460"/>
      <c r="UM8" s="460"/>
      <c r="UN8" s="450"/>
      <c r="UO8" s="1857"/>
      <c r="UP8" s="1857"/>
      <c r="UQ8" s="1857"/>
      <c r="UR8" s="1857"/>
      <c r="US8" s="1857"/>
      <c r="UT8" s="1857"/>
      <c r="UU8" s="1857"/>
      <c r="UV8" s="1857"/>
      <c r="UW8" s="1857"/>
      <c r="UX8" s="1857"/>
      <c r="UY8" s="1857"/>
      <c r="UZ8" s="1857"/>
      <c r="VA8" s="1857"/>
      <c r="VB8" s="454"/>
      <c r="VC8" s="1858"/>
      <c r="VD8" s="449"/>
      <c r="VE8" s="449"/>
      <c r="VF8" s="449"/>
      <c r="VG8" s="460"/>
      <c r="VH8" s="460"/>
      <c r="VI8" s="460"/>
      <c r="VJ8" s="460"/>
      <c r="VK8" s="460"/>
      <c r="VL8" s="460"/>
      <c r="VM8" s="450"/>
      <c r="VN8" s="1857"/>
      <c r="VO8" s="1857"/>
      <c r="VP8" s="1857"/>
      <c r="VQ8" s="1857"/>
      <c r="VR8" s="1857"/>
      <c r="VS8" s="1857"/>
      <c r="VT8" s="1857"/>
      <c r="VU8" s="1857"/>
      <c r="VV8" s="1857"/>
      <c r="VW8" s="1857"/>
      <c r="VX8" s="1857"/>
      <c r="VY8" s="1857"/>
      <c r="VZ8" s="1857"/>
      <c r="WA8" s="454"/>
      <c r="WB8" s="1858"/>
      <c r="WC8" s="449"/>
      <c r="WD8" s="449"/>
      <c r="WE8" s="449"/>
      <c r="WF8" s="460"/>
      <c r="WG8" s="460"/>
      <c r="WH8" s="460"/>
      <c r="WI8" s="460"/>
      <c r="WJ8" s="460"/>
      <c r="WK8" s="460"/>
      <c r="WL8" s="450"/>
      <c r="WM8" s="1857"/>
      <c r="WN8" s="1857"/>
      <c r="WO8" s="1857"/>
      <c r="WP8" s="1857"/>
      <c r="WQ8" s="1857"/>
      <c r="WR8" s="1857"/>
      <c r="WS8" s="1857"/>
      <c r="WT8" s="1857"/>
      <c r="WU8" s="1857"/>
      <c r="WV8" s="1857"/>
      <c r="WW8" s="1857"/>
      <c r="WX8" s="1857"/>
      <c r="WY8" s="1857"/>
      <c r="WZ8" s="454"/>
      <c r="XA8" s="1858"/>
      <c r="XB8" s="449"/>
      <c r="XC8" s="449"/>
      <c r="XD8" s="449"/>
      <c r="XE8" s="460"/>
      <c r="XF8" s="460"/>
      <c r="XG8" s="460"/>
      <c r="XH8" s="460"/>
      <c r="XI8" s="460"/>
      <c r="XJ8" s="460"/>
      <c r="XK8" s="450"/>
      <c r="XL8" s="1857"/>
      <c r="XM8" s="1857"/>
      <c r="XN8" s="1857"/>
      <c r="XO8" s="1857"/>
      <c r="XP8" s="1857"/>
      <c r="XQ8" s="1857"/>
      <c r="XR8" s="1857"/>
      <c r="XS8" s="1857"/>
      <c r="XT8" s="1857"/>
      <c r="XU8" s="1857"/>
      <c r="XV8" s="1857"/>
      <c r="XW8" s="1857"/>
      <c r="XX8" s="1857"/>
      <c r="XY8" s="454"/>
      <c r="XZ8" s="1858"/>
      <c r="YA8" s="449"/>
      <c r="YB8" s="449"/>
      <c r="YC8" s="449"/>
      <c r="YD8" s="460"/>
      <c r="YE8" s="460"/>
      <c r="YF8" s="460"/>
      <c r="YG8" s="460"/>
      <c r="YH8" s="460"/>
      <c r="YI8" s="460"/>
      <c r="YJ8" s="450"/>
      <c r="YK8" s="1857"/>
      <c r="YL8" s="1857"/>
      <c r="YM8" s="1857"/>
      <c r="YN8" s="1857"/>
      <c r="YO8" s="1857"/>
      <c r="YP8" s="1857"/>
      <c r="YQ8" s="1857"/>
      <c r="YR8" s="1857"/>
      <c r="YS8" s="1857"/>
      <c r="YT8" s="1857"/>
      <c r="YU8" s="1857"/>
      <c r="YV8" s="1857"/>
      <c r="YW8" s="1857"/>
      <c r="YX8" s="454"/>
      <c r="YY8" s="1858"/>
      <c r="YZ8" s="449"/>
      <c r="ZA8" s="449"/>
      <c r="ZB8" s="449"/>
      <c r="ZC8" s="460"/>
      <c r="ZD8" s="460"/>
      <c r="ZE8" s="460"/>
      <c r="ZF8" s="460"/>
      <c r="ZG8" s="460"/>
      <c r="ZH8" s="460"/>
      <c r="ZI8" s="450"/>
      <c r="ZJ8" s="1857"/>
      <c r="ZK8" s="1857"/>
      <c r="ZL8" s="1857"/>
      <c r="ZM8" s="1857"/>
      <c r="ZN8" s="1857"/>
      <c r="ZO8" s="1857"/>
      <c r="ZP8" s="1857"/>
      <c r="ZQ8" s="1857"/>
      <c r="ZR8" s="1857"/>
      <c r="ZS8" s="1857"/>
      <c r="ZT8" s="1857"/>
      <c r="ZU8" s="1857"/>
      <c r="ZV8" s="1857"/>
      <c r="ZW8" s="454"/>
      <c r="ZX8" s="1858"/>
      <c r="ZY8" s="449"/>
      <c r="ZZ8" s="449"/>
      <c r="AAA8" s="449"/>
      <c r="AAB8" s="460"/>
      <c r="AAC8" s="460"/>
      <c r="AAD8" s="460"/>
      <c r="AAE8" s="460"/>
      <c r="AAF8" s="460"/>
      <c r="AAG8" s="460"/>
      <c r="AAH8" s="450"/>
      <c r="AAI8" s="1857"/>
      <c r="AAJ8" s="1857"/>
      <c r="AAK8" s="1857"/>
      <c r="AAL8" s="1857"/>
      <c r="AAM8" s="1857"/>
      <c r="AAN8" s="1857"/>
      <c r="AAO8" s="1857"/>
      <c r="AAP8" s="1857"/>
      <c r="AAQ8" s="1857"/>
      <c r="AAR8" s="1857"/>
      <c r="AAS8" s="1857"/>
      <c r="AAT8" s="1857"/>
      <c r="AAU8" s="1857"/>
      <c r="AAV8" s="454"/>
      <c r="AAW8" s="1858"/>
      <c r="AAX8" s="449"/>
      <c r="AAY8" s="449"/>
      <c r="AAZ8" s="449"/>
      <c r="ABA8" s="460"/>
      <c r="ABB8" s="460"/>
      <c r="ABC8" s="460"/>
      <c r="ABD8" s="460"/>
      <c r="ABE8" s="460"/>
      <c r="ABF8" s="460"/>
      <c r="ABG8" s="450"/>
      <c r="ABH8" s="1857"/>
      <c r="ABI8" s="1857"/>
      <c r="ABJ8" s="1857"/>
      <c r="ABK8" s="1857"/>
      <c r="ABL8" s="1857"/>
      <c r="ABM8" s="1857"/>
      <c r="ABN8" s="1857"/>
      <c r="ABO8" s="1857"/>
      <c r="ABP8" s="1857"/>
      <c r="ABQ8" s="1857"/>
      <c r="ABR8" s="1857"/>
      <c r="ABS8" s="1857"/>
      <c r="ABT8" s="1857"/>
      <c r="ABU8" s="454"/>
      <c r="ABV8" s="1858"/>
      <c r="ABW8" s="449"/>
      <c r="ABX8" s="449"/>
      <c r="ABY8" s="449"/>
      <c r="ABZ8" s="460"/>
      <c r="ACA8" s="460"/>
      <c r="ACB8" s="460"/>
      <c r="ACC8" s="460"/>
      <c r="ACD8" s="460"/>
      <c r="ACE8" s="460"/>
      <c r="ACF8" s="450"/>
      <c r="ACG8" s="1857"/>
      <c r="ACH8" s="1857"/>
      <c r="ACI8" s="1857"/>
      <c r="ACJ8" s="1857"/>
      <c r="ACK8" s="1857"/>
      <c r="ACL8" s="1857"/>
      <c r="ACM8" s="1857"/>
      <c r="ACN8" s="1857"/>
      <c r="ACO8" s="1857"/>
      <c r="ACP8" s="1857"/>
      <c r="ACQ8" s="1857"/>
      <c r="ACR8" s="1857"/>
      <c r="ACS8" s="1857"/>
      <c r="ACT8" s="454"/>
      <c r="ACU8" s="1858"/>
      <c r="ACV8" s="449"/>
      <c r="ACW8" s="449"/>
      <c r="ACX8" s="449"/>
      <c r="ACY8" s="460"/>
      <c r="ACZ8" s="460"/>
      <c r="ADA8" s="460"/>
      <c r="ADB8" s="460"/>
      <c r="ADC8" s="460"/>
      <c r="ADD8" s="460"/>
      <c r="ADE8" s="450"/>
      <c r="ADF8" s="1857"/>
      <c r="ADG8" s="1857"/>
      <c r="ADH8" s="1857"/>
      <c r="ADI8" s="1857"/>
      <c r="ADJ8" s="1857"/>
      <c r="ADK8" s="1857"/>
      <c r="ADL8" s="1857"/>
      <c r="ADM8" s="1857"/>
      <c r="ADN8" s="1857"/>
      <c r="ADO8" s="1857"/>
      <c r="ADP8" s="1857"/>
      <c r="ADQ8" s="1857"/>
      <c r="ADR8" s="1857"/>
      <c r="ADS8" s="454"/>
      <c r="ADT8" s="1858"/>
      <c r="ADU8" s="449"/>
      <c r="ADV8" s="449"/>
      <c r="ADW8" s="449"/>
      <c r="ADX8" s="460"/>
      <c r="ADY8" s="460"/>
      <c r="ADZ8" s="460"/>
      <c r="AEA8" s="460"/>
      <c r="AEB8" s="460"/>
      <c r="AEC8" s="460"/>
      <c r="AED8" s="450"/>
      <c r="AEE8" s="1857"/>
      <c r="AEF8" s="1857"/>
      <c r="AEG8" s="1857"/>
      <c r="AEH8" s="1857"/>
      <c r="AEI8" s="1857"/>
      <c r="AEJ8" s="1857"/>
      <c r="AEK8" s="1857"/>
      <c r="AEL8" s="1857"/>
      <c r="AEM8" s="1857"/>
      <c r="AEN8" s="1857"/>
      <c r="AEO8" s="1857"/>
      <c r="AEP8" s="1857"/>
      <c r="AEQ8" s="1857"/>
      <c r="AER8" s="454"/>
      <c r="AES8" s="1858"/>
      <c r="AET8" s="449"/>
      <c r="AEU8" s="449"/>
      <c r="AEV8" s="449"/>
      <c r="AEW8" s="460"/>
      <c r="AEX8" s="460"/>
      <c r="AEY8" s="460"/>
      <c r="AEZ8" s="460"/>
      <c r="AFA8" s="460"/>
      <c r="AFB8" s="460"/>
      <c r="AFC8" s="450"/>
      <c r="AFD8" s="1857"/>
      <c r="AFE8" s="1857"/>
      <c r="AFF8" s="1857"/>
      <c r="AFG8" s="1857"/>
      <c r="AFH8" s="1857"/>
      <c r="AFI8" s="1857"/>
      <c r="AFJ8" s="1857"/>
      <c r="AFK8" s="1857"/>
      <c r="AFL8" s="1857"/>
      <c r="AFM8" s="1857"/>
      <c r="AFN8" s="1857"/>
      <c r="AFO8" s="1857"/>
      <c r="AFP8" s="1857"/>
      <c r="AFQ8" s="454"/>
      <c r="AFR8" s="1858"/>
      <c r="AFS8" s="449"/>
      <c r="AFT8" s="449"/>
      <c r="AFU8" s="449"/>
      <c r="AFV8" s="460"/>
      <c r="AFW8" s="460"/>
      <c r="AFX8" s="460"/>
      <c r="AFY8" s="460"/>
      <c r="AFZ8" s="460"/>
      <c r="AGA8" s="460"/>
      <c r="AGB8" s="450"/>
      <c r="AGC8" s="1857"/>
      <c r="AGD8" s="1857"/>
      <c r="AGE8" s="1857"/>
      <c r="AGF8" s="1857"/>
      <c r="AGG8" s="1857"/>
      <c r="AGH8" s="1857"/>
      <c r="AGI8" s="1857"/>
      <c r="AGJ8" s="1857"/>
      <c r="AGK8" s="1857"/>
      <c r="AGL8" s="1857"/>
      <c r="AGM8" s="1857"/>
      <c r="AGN8" s="1857"/>
      <c r="AGO8" s="1857"/>
      <c r="AGP8" s="454"/>
      <c r="AGQ8" s="1858"/>
      <c r="AGR8" s="449"/>
      <c r="AGS8" s="449"/>
      <c r="AGT8" s="449"/>
      <c r="AGU8" s="460"/>
      <c r="AGV8" s="460"/>
      <c r="AGW8" s="460"/>
      <c r="AGX8" s="460"/>
      <c r="AGY8" s="460"/>
      <c r="AGZ8" s="460"/>
      <c r="AHA8" s="450"/>
      <c r="AHB8" s="1857"/>
      <c r="AHC8" s="1857"/>
      <c r="AHD8" s="1857"/>
      <c r="AHE8" s="1857"/>
      <c r="AHF8" s="1857"/>
      <c r="AHG8" s="1857"/>
      <c r="AHH8" s="1857"/>
      <c r="AHI8" s="1857"/>
      <c r="AHJ8" s="1857"/>
      <c r="AHK8" s="1857"/>
      <c r="AHL8" s="1857"/>
      <c r="AHM8" s="1857"/>
      <c r="AHN8" s="1857"/>
      <c r="AHO8" s="454"/>
      <c r="AHP8" s="1858"/>
      <c r="AHQ8" s="449"/>
      <c r="AHR8" s="449"/>
      <c r="AHS8" s="449"/>
      <c r="AHT8" s="460"/>
      <c r="AHU8" s="460"/>
      <c r="AHV8" s="460"/>
      <c r="AHW8" s="460"/>
      <c r="AHX8" s="460"/>
      <c r="AHY8" s="460"/>
      <c r="AHZ8" s="450"/>
      <c r="AIA8" s="1857"/>
      <c r="AIB8" s="1857"/>
      <c r="AIC8" s="1857"/>
      <c r="AID8" s="1857"/>
      <c r="AIE8" s="1857"/>
      <c r="AIF8" s="1857"/>
      <c r="AIG8" s="1857"/>
      <c r="AIH8" s="1857"/>
      <c r="AII8" s="1857"/>
      <c r="AIJ8" s="1857"/>
      <c r="AIK8" s="1857"/>
      <c r="AIL8" s="1857"/>
      <c r="AIM8" s="1857"/>
      <c r="AIN8" s="454"/>
      <c r="AIO8" s="1858"/>
      <c r="AIP8" s="449"/>
      <c r="AIQ8" s="449"/>
      <c r="AIR8" s="449"/>
      <c r="AIS8" s="460"/>
      <c r="AIT8" s="460"/>
      <c r="AIU8" s="460"/>
      <c r="AIV8" s="460"/>
      <c r="AIW8" s="460"/>
      <c r="AIX8" s="460"/>
      <c r="AIY8" s="450"/>
      <c r="AIZ8" s="1857"/>
      <c r="AJA8" s="1857"/>
      <c r="AJB8" s="1857"/>
      <c r="AJC8" s="1857"/>
      <c r="AJD8" s="1857"/>
      <c r="AJE8" s="1857"/>
      <c r="AJF8" s="1857"/>
      <c r="AJG8" s="1857"/>
      <c r="AJH8" s="1857"/>
      <c r="AJI8" s="1857"/>
      <c r="AJJ8" s="1857"/>
      <c r="AJK8" s="1857"/>
      <c r="AJL8" s="1857"/>
      <c r="AJM8" s="454"/>
      <c r="AJN8" s="1858"/>
      <c r="AJO8" s="449"/>
      <c r="AJP8" s="449"/>
      <c r="AJQ8" s="449"/>
      <c r="AJR8" s="460"/>
      <c r="AJS8" s="460"/>
      <c r="AJT8" s="460"/>
      <c r="AJU8" s="460"/>
      <c r="AJV8" s="460"/>
      <c r="AJW8" s="460"/>
      <c r="AJX8" s="450"/>
      <c r="AJY8" s="1857"/>
      <c r="AJZ8" s="1857"/>
      <c r="AKA8" s="1857"/>
      <c r="AKB8" s="1857"/>
      <c r="AKC8" s="1857"/>
      <c r="AKD8" s="1857"/>
      <c r="AKE8" s="1857"/>
      <c r="AKF8" s="1857"/>
      <c r="AKG8" s="1857"/>
      <c r="AKH8" s="1857"/>
      <c r="AKI8" s="1857"/>
      <c r="AKJ8" s="1857"/>
      <c r="AKK8" s="1857"/>
      <c r="AKL8" s="454"/>
      <c r="AKM8" s="1858"/>
      <c r="AKN8" s="449"/>
      <c r="AKO8" s="449"/>
      <c r="AKP8" s="449"/>
      <c r="AKQ8" s="460"/>
      <c r="AKR8" s="460"/>
      <c r="AKS8" s="460"/>
      <c r="AKT8" s="460"/>
      <c r="AKU8" s="460"/>
      <c r="AKV8" s="460"/>
      <c r="AKW8" s="450"/>
      <c r="AKX8" s="1857"/>
      <c r="AKY8" s="1857"/>
      <c r="AKZ8" s="1857"/>
      <c r="ALA8" s="1857"/>
      <c r="ALB8" s="1857"/>
      <c r="ALC8" s="1857"/>
      <c r="ALD8" s="1857"/>
      <c r="ALE8" s="1857"/>
      <c r="ALF8" s="1857"/>
      <c r="ALG8" s="1857"/>
      <c r="ALH8" s="1857"/>
      <c r="ALI8" s="1857"/>
      <c r="ALJ8" s="1857"/>
      <c r="ALK8" s="454"/>
      <c r="ALL8" s="1858"/>
      <c r="ALM8" s="449"/>
      <c r="ALN8" s="449"/>
      <c r="ALO8" s="449"/>
      <c r="ALP8" s="460"/>
      <c r="ALQ8" s="460"/>
      <c r="ALR8" s="460"/>
      <c r="ALS8" s="460"/>
      <c r="ALT8" s="460"/>
      <c r="ALU8" s="460"/>
      <c r="ALV8" s="450"/>
      <c r="ALW8" s="1857"/>
      <c r="ALX8" s="1857"/>
      <c r="ALY8" s="1857"/>
      <c r="ALZ8" s="1857"/>
      <c r="AMA8" s="1857"/>
      <c r="AMB8" s="1857"/>
      <c r="AMC8" s="1857"/>
      <c r="AMD8" s="1857"/>
      <c r="AME8" s="1857"/>
      <c r="AMF8" s="1857"/>
      <c r="AMG8" s="1857"/>
      <c r="AMH8" s="1857"/>
      <c r="AMI8" s="1857"/>
      <c r="AMJ8" s="454"/>
      <c r="AMK8" s="1858"/>
      <c r="AML8" s="449"/>
      <c r="AMM8" s="449"/>
      <c r="AMN8" s="449"/>
      <c r="AMO8" s="460"/>
      <c r="AMP8" s="460"/>
      <c r="AMQ8" s="460"/>
      <c r="AMR8" s="460"/>
      <c r="AMS8" s="460"/>
      <c r="AMT8" s="460"/>
      <c r="AMU8" s="450"/>
      <c r="AMV8" s="1857"/>
      <c r="AMW8" s="1857"/>
      <c r="AMX8" s="1857"/>
      <c r="AMY8" s="1857"/>
      <c r="AMZ8" s="1857"/>
      <c r="ANA8" s="1857"/>
      <c r="ANB8" s="1857"/>
      <c r="ANC8" s="1857"/>
      <c r="AND8" s="1857"/>
      <c r="ANE8" s="1857"/>
      <c r="ANF8" s="1857"/>
      <c r="ANG8" s="1857"/>
      <c r="ANH8" s="1857"/>
      <c r="ANI8" s="454"/>
      <c r="ANJ8" s="1858"/>
      <c r="ANK8" s="449"/>
      <c r="ANL8" s="449"/>
      <c r="ANM8" s="449"/>
      <c r="ANN8" s="460"/>
      <c r="ANO8" s="460"/>
      <c r="ANP8" s="460"/>
      <c r="ANQ8" s="460"/>
      <c r="ANR8" s="460"/>
      <c r="ANS8" s="460"/>
      <c r="ANT8" s="450"/>
      <c r="ANU8" s="1857"/>
      <c r="ANV8" s="1857"/>
      <c r="ANW8" s="1857"/>
      <c r="ANX8" s="1857"/>
      <c r="ANY8" s="1857"/>
      <c r="ANZ8" s="1857"/>
      <c r="AOA8" s="1857"/>
      <c r="AOB8" s="1857"/>
      <c r="AOC8" s="1857"/>
      <c r="AOD8" s="1857"/>
      <c r="AOE8" s="1857"/>
      <c r="AOF8" s="1857"/>
      <c r="AOG8" s="1857"/>
      <c r="AOH8" s="454"/>
      <c r="AOI8" s="1858"/>
      <c r="AOJ8" s="449"/>
      <c r="AOK8" s="449"/>
      <c r="AOL8" s="449"/>
      <c r="AOM8" s="460"/>
      <c r="AON8" s="460"/>
      <c r="AOO8" s="460"/>
      <c r="AOP8" s="460"/>
      <c r="AOQ8" s="460"/>
      <c r="AOR8" s="460"/>
      <c r="AOS8" s="450"/>
      <c r="AOT8" s="1857"/>
      <c r="AOU8" s="1857"/>
      <c r="AOV8" s="1857"/>
      <c r="AOW8" s="1857"/>
      <c r="AOX8" s="1857"/>
      <c r="AOY8" s="1857"/>
      <c r="AOZ8" s="1857"/>
      <c r="APA8" s="1857"/>
      <c r="APB8" s="1857"/>
      <c r="APC8" s="1857"/>
      <c r="APD8" s="1857"/>
      <c r="APE8" s="1857"/>
      <c r="APF8" s="1857"/>
      <c r="APG8" s="454"/>
      <c r="APH8" s="1858"/>
      <c r="API8" s="449"/>
      <c r="APJ8" s="449"/>
      <c r="APK8" s="449"/>
      <c r="APL8" s="460"/>
      <c r="APM8" s="460"/>
      <c r="APN8" s="460"/>
      <c r="APO8" s="460"/>
      <c r="APP8" s="460"/>
      <c r="APQ8" s="460"/>
      <c r="APR8" s="450"/>
      <c r="APS8" s="1857"/>
      <c r="APT8" s="1857"/>
      <c r="APU8" s="1857"/>
      <c r="APV8" s="1857"/>
      <c r="APW8" s="1857"/>
      <c r="APX8" s="1857"/>
      <c r="APY8" s="1857"/>
      <c r="APZ8" s="1857"/>
      <c r="AQA8" s="1857"/>
      <c r="AQB8" s="1857"/>
      <c r="AQC8" s="1857"/>
      <c r="AQD8" s="1857"/>
      <c r="AQE8" s="1857"/>
      <c r="AQF8" s="454"/>
      <c r="AQG8" s="1858"/>
      <c r="AQH8" s="449"/>
      <c r="AQI8" s="449"/>
      <c r="AQJ8" s="449"/>
      <c r="AQK8" s="460"/>
      <c r="AQL8" s="460"/>
      <c r="AQM8" s="460"/>
      <c r="AQN8" s="460"/>
      <c r="AQO8" s="460"/>
      <c r="AQP8" s="460"/>
      <c r="AQQ8" s="450"/>
      <c r="AQR8" s="1857"/>
      <c r="AQS8" s="1857"/>
      <c r="AQT8" s="1857"/>
      <c r="AQU8" s="1857"/>
      <c r="AQV8" s="1857"/>
      <c r="AQW8" s="1857"/>
      <c r="AQX8" s="1857"/>
      <c r="AQY8" s="1857"/>
      <c r="AQZ8" s="1857"/>
      <c r="ARA8" s="1857"/>
      <c r="ARB8" s="1857"/>
      <c r="ARC8" s="1857"/>
      <c r="ARD8" s="1857"/>
      <c r="ARE8" s="454"/>
      <c r="ARF8" s="1858"/>
      <c r="ARG8" s="449"/>
      <c r="ARH8" s="449"/>
      <c r="ARI8" s="449"/>
      <c r="ARJ8" s="460"/>
      <c r="ARK8" s="460"/>
      <c r="ARL8" s="460"/>
      <c r="ARM8" s="460"/>
      <c r="ARN8" s="460"/>
      <c r="ARO8" s="460"/>
      <c r="ARP8" s="450"/>
      <c r="ARQ8" s="1857"/>
      <c r="ARR8" s="1857"/>
      <c r="ARS8" s="1857"/>
      <c r="ART8" s="1857"/>
      <c r="ARU8" s="1857"/>
      <c r="ARV8" s="1857"/>
      <c r="ARW8" s="1857"/>
      <c r="ARX8" s="1857"/>
      <c r="ARY8" s="1857"/>
      <c r="ARZ8" s="1857"/>
      <c r="ASA8" s="1857"/>
      <c r="ASB8" s="1857"/>
      <c r="ASC8" s="1857"/>
      <c r="ASD8" s="454"/>
      <c r="ASE8" s="1858"/>
      <c r="ASF8" s="449"/>
      <c r="ASG8" s="449"/>
      <c r="ASH8" s="449"/>
      <c r="ASI8" s="460"/>
      <c r="ASJ8" s="460"/>
      <c r="ASK8" s="460"/>
      <c r="ASL8" s="460"/>
      <c r="ASM8" s="460"/>
      <c r="ASN8" s="460"/>
      <c r="ASO8" s="450"/>
      <c r="ASP8" s="1857"/>
      <c r="ASQ8" s="1857"/>
      <c r="ASR8" s="1857"/>
      <c r="ASS8" s="1857"/>
      <c r="AST8" s="1857"/>
      <c r="ASU8" s="1857"/>
      <c r="ASV8" s="1857"/>
      <c r="ASW8" s="1857"/>
      <c r="ASX8" s="1857"/>
      <c r="ASY8" s="1857"/>
      <c r="ASZ8" s="1857"/>
      <c r="ATA8" s="1857"/>
      <c r="ATB8" s="1857"/>
      <c r="ATC8" s="454"/>
      <c r="ATD8" s="1858"/>
      <c r="ATE8" s="449"/>
      <c r="ATF8" s="449"/>
      <c r="ATG8" s="449"/>
      <c r="ATH8" s="460"/>
      <c r="ATI8" s="460"/>
      <c r="ATJ8" s="460"/>
      <c r="ATK8" s="460"/>
      <c r="ATL8" s="460"/>
      <c r="ATM8" s="460"/>
      <c r="ATN8" s="450"/>
      <c r="ATO8" s="1857"/>
      <c r="ATP8" s="1857"/>
      <c r="ATQ8" s="1857"/>
      <c r="ATR8" s="1857"/>
      <c r="ATS8" s="1857"/>
      <c r="ATT8" s="1857"/>
      <c r="ATU8" s="1857"/>
      <c r="ATV8" s="1857"/>
      <c r="ATW8" s="1857"/>
      <c r="ATX8" s="1857"/>
      <c r="ATY8" s="1857"/>
      <c r="ATZ8" s="1857"/>
      <c r="AUA8" s="1857"/>
      <c r="AUB8" s="454"/>
      <c r="AUC8" s="1858"/>
      <c r="AUD8" s="449"/>
      <c r="AUE8" s="449"/>
      <c r="AUF8" s="449"/>
      <c r="AUG8" s="460"/>
      <c r="AUH8" s="460"/>
      <c r="AUI8" s="460"/>
      <c r="AUJ8" s="460"/>
      <c r="AUK8" s="460"/>
      <c r="AUL8" s="460"/>
      <c r="AUM8" s="450"/>
      <c r="AUN8" s="1857"/>
      <c r="AUO8" s="1857"/>
      <c r="AUP8" s="1857"/>
      <c r="AUQ8" s="1857"/>
      <c r="AUR8" s="1857"/>
      <c r="AUS8" s="1857"/>
      <c r="AUT8" s="1857"/>
      <c r="AUU8" s="1857"/>
      <c r="AUV8" s="1857"/>
      <c r="AUW8" s="1857"/>
      <c r="AUX8" s="1857"/>
      <c r="AUY8" s="1857"/>
      <c r="AUZ8" s="1857"/>
      <c r="AVA8" s="454"/>
      <c r="AVB8" s="1858"/>
      <c r="AVC8" s="449"/>
      <c r="AVD8" s="449"/>
      <c r="AVE8" s="449"/>
      <c r="AVF8" s="460"/>
      <c r="AVG8" s="460"/>
      <c r="AVH8" s="460"/>
      <c r="AVI8" s="460"/>
      <c r="AVJ8" s="460"/>
      <c r="AVK8" s="460"/>
      <c r="AVL8" s="450"/>
      <c r="AVM8" s="1857"/>
      <c r="AVN8" s="1857"/>
      <c r="AVO8" s="1857"/>
      <c r="AVP8" s="1857"/>
      <c r="AVQ8" s="1857"/>
      <c r="AVR8" s="1857"/>
      <c r="AVS8" s="1857"/>
      <c r="AVT8" s="1857"/>
      <c r="AVU8" s="1857"/>
      <c r="AVV8" s="1857"/>
      <c r="AVW8" s="1857"/>
      <c r="AVX8" s="1857"/>
      <c r="AVY8" s="1857"/>
      <c r="AVZ8" s="454"/>
      <c r="AWA8" s="1858"/>
      <c r="AWB8" s="449"/>
      <c r="AWC8" s="449"/>
      <c r="AWD8" s="449"/>
      <c r="AWE8" s="460"/>
      <c r="AWF8" s="460"/>
      <c r="AWG8" s="460"/>
      <c r="AWH8" s="460"/>
      <c r="AWI8" s="460"/>
      <c r="AWJ8" s="460"/>
      <c r="AWK8" s="450"/>
      <c r="AWL8" s="1857"/>
      <c r="AWM8" s="1857"/>
      <c r="AWN8" s="1857"/>
      <c r="AWO8" s="1857"/>
      <c r="AWP8" s="1857"/>
      <c r="AWQ8" s="1857"/>
      <c r="AWR8" s="1857"/>
      <c r="AWS8" s="1857"/>
      <c r="AWT8" s="1857"/>
      <c r="AWU8" s="1857"/>
      <c r="AWV8" s="1857"/>
      <c r="AWW8" s="1857"/>
      <c r="AWX8" s="1857"/>
      <c r="AWY8" s="454"/>
      <c r="AWZ8" s="1858"/>
      <c r="AXA8" s="449"/>
      <c r="AXB8" s="449"/>
      <c r="AXC8" s="449"/>
      <c r="AXD8" s="460"/>
      <c r="AXE8" s="460"/>
      <c r="AXF8" s="460"/>
      <c r="AXG8" s="460"/>
      <c r="AXH8" s="460"/>
      <c r="AXI8" s="460"/>
      <c r="AXJ8" s="450"/>
      <c r="AXK8" s="1857"/>
      <c r="AXL8" s="1857"/>
      <c r="AXM8" s="1857"/>
      <c r="AXN8" s="1857"/>
      <c r="AXO8" s="1857"/>
      <c r="AXP8" s="1857"/>
      <c r="AXQ8" s="1857"/>
      <c r="AXR8" s="1857"/>
      <c r="AXS8" s="1857"/>
      <c r="AXT8" s="1857"/>
      <c r="AXU8" s="1857"/>
      <c r="AXV8" s="1857"/>
      <c r="AXW8" s="1857"/>
      <c r="AXX8" s="454"/>
      <c r="AXY8" s="1858"/>
      <c r="AXZ8" s="449"/>
      <c r="AYA8" s="449"/>
      <c r="AYB8" s="449"/>
      <c r="AYC8" s="460"/>
      <c r="AYD8" s="460"/>
      <c r="AYE8" s="460"/>
      <c r="AYF8" s="460"/>
      <c r="AYG8" s="460"/>
      <c r="AYH8" s="460"/>
      <c r="AYI8" s="450"/>
      <c r="AYJ8" s="1857"/>
      <c r="AYK8" s="1857"/>
      <c r="AYL8" s="1857"/>
      <c r="AYM8" s="1857"/>
      <c r="AYN8" s="1857"/>
      <c r="AYO8" s="1857"/>
      <c r="AYP8" s="1857"/>
      <c r="AYQ8" s="1857"/>
      <c r="AYR8" s="1857"/>
      <c r="AYS8" s="1857"/>
      <c r="AYT8" s="1857"/>
      <c r="AYU8" s="1857"/>
      <c r="AYV8" s="1857"/>
      <c r="AYW8" s="454"/>
      <c r="AYX8" s="1858"/>
      <c r="AYY8" s="449"/>
      <c r="AYZ8" s="449"/>
      <c r="AZA8" s="449"/>
      <c r="AZB8" s="460"/>
      <c r="AZC8" s="460"/>
      <c r="AZD8" s="460"/>
      <c r="AZE8" s="460"/>
      <c r="AZF8" s="460"/>
      <c r="AZG8" s="460"/>
      <c r="AZH8" s="450"/>
      <c r="AZI8" s="1857"/>
      <c r="AZJ8" s="1857"/>
      <c r="AZK8" s="1857"/>
      <c r="AZL8" s="1857"/>
      <c r="AZM8" s="1857"/>
      <c r="AZN8" s="1857"/>
      <c r="AZO8" s="1857"/>
      <c r="AZP8" s="1857"/>
      <c r="AZQ8" s="1857"/>
      <c r="AZR8" s="1857"/>
      <c r="AZS8" s="1857"/>
      <c r="AZT8" s="1857"/>
      <c r="AZU8" s="1857"/>
      <c r="AZV8" s="454"/>
      <c r="AZW8" s="1858"/>
      <c r="AZX8" s="449"/>
      <c r="AZY8" s="449"/>
      <c r="AZZ8" s="449"/>
      <c r="BAA8" s="460"/>
      <c r="BAB8" s="460"/>
      <c r="BAC8" s="460"/>
      <c r="BAD8" s="460"/>
      <c r="BAE8" s="460"/>
      <c r="BAF8" s="460"/>
      <c r="BAG8" s="450"/>
      <c r="BAH8" s="1857"/>
      <c r="BAI8" s="1857"/>
      <c r="BAJ8" s="1857"/>
      <c r="BAK8" s="1857"/>
      <c r="BAL8" s="1857"/>
      <c r="BAM8" s="1857"/>
      <c r="BAN8" s="1857"/>
      <c r="BAO8" s="1857"/>
      <c r="BAP8" s="1857"/>
      <c r="BAQ8" s="1857"/>
      <c r="BAR8" s="1857"/>
      <c r="BAS8" s="1857"/>
      <c r="BAT8" s="1857"/>
      <c r="BAU8" s="454"/>
      <c r="BAV8" s="1858"/>
      <c r="BAW8" s="449"/>
      <c r="BAX8" s="449"/>
      <c r="BAY8" s="449"/>
      <c r="BAZ8" s="460"/>
      <c r="BBA8" s="460"/>
      <c r="BBB8" s="460"/>
      <c r="BBC8" s="460"/>
      <c r="BBD8" s="460"/>
      <c r="BBE8" s="460"/>
      <c r="BBF8" s="450"/>
      <c r="BBG8" s="1857"/>
      <c r="BBH8" s="1857"/>
      <c r="BBI8" s="1857"/>
      <c r="BBJ8" s="1857"/>
      <c r="BBK8" s="1857"/>
      <c r="BBL8" s="1857"/>
      <c r="BBM8" s="1857"/>
      <c r="BBN8" s="1857"/>
      <c r="BBO8" s="1857"/>
      <c r="BBP8" s="1857"/>
      <c r="BBQ8" s="1857"/>
      <c r="BBR8" s="1857"/>
      <c r="BBS8" s="1857"/>
      <c r="BBT8" s="454"/>
      <c r="BBU8" s="1858"/>
      <c r="BBV8" s="449"/>
      <c r="BBW8" s="449"/>
      <c r="BBX8" s="449"/>
      <c r="BBY8" s="460"/>
      <c r="BBZ8" s="460"/>
      <c r="BCA8" s="460"/>
      <c r="BCB8" s="460"/>
      <c r="BCC8" s="460"/>
      <c r="BCD8" s="460"/>
      <c r="BCE8" s="450"/>
      <c r="BCF8" s="1857"/>
      <c r="BCG8" s="1857"/>
      <c r="BCH8" s="1857"/>
      <c r="BCI8" s="1857"/>
      <c r="BCJ8" s="1857"/>
      <c r="BCK8" s="1857"/>
      <c r="BCL8" s="1857"/>
      <c r="BCM8" s="1857"/>
      <c r="BCN8" s="1857"/>
      <c r="BCO8" s="1857"/>
      <c r="BCP8" s="1857"/>
      <c r="BCQ8" s="1857"/>
      <c r="BCR8" s="1857"/>
      <c r="BCS8" s="454"/>
      <c r="BCT8" s="1858"/>
      <c r="BCU8" s="449"/>
      <c r="BCV8" s="449"/>
      <c r="BCW8" s="449"/>
      <c r="BCX8" s="460"/>
      <c r="BCY8" s="460"/>
      <c r="BCZ8" s="460"/>
      <c r="BDA8" s="460"/>
      <c r="BDB8" s="460"/>
      <c r="BDC8" s="460"/>
      <c r="BDD8" s="450"/>
      <c r="BDE8" s="1857"/>
      <c r="BDF8" s="1857"/>
      <c r="BDG8" s="1857"/>
      <c r="BDH8" s="1857"/>
      <c r="BDI8" s="1857"/>
      <c r="BDJ8" s="1857"/>
      <c r="BDK8" s="1857"/>
      <c r="BDL8" s="1857"/>
      <c r="BDM8" s="1857"/>
      <c r="BDN8" s="1857"/>
      <c r="BDO8" s="1857"/>
      <c r="BDP8" s="1857"/>
      <c r="BDQ8" s="1857"/>
      <c r="BDR8" s="454"/>
      <c r="BDS8" s="1858"/>
      <c r="BDT8" s="449"/>
      <c r="BDU8" s="449"/>
      <c r="BDV8" s="449"/>
      <c r="BDW8" s="460"/>
      <c r="BDX8" s="460"/>
      <c r="BDY8" s="460"/>
      <c r="BDZ8" s="460"/>
      <c r="BEA8" s="460"/>
      <c r="BEB8" s="460"/>
      <c r="BEC8" s="450"/>
      <c r="BED8" s="1857"/>
      <c r="BEE8" s="1857"/>
      <c r="BEF8" s="1857"/>
      <c r="BEG8" s="1857"/>
      <c r="BEH8" s="1857"/>
      <c r="BEI8" s="1857"/>
      <c r="BEJ8" s="1857"/>
      <c r="BEK8" s="1857"/>
      <c r="BEL8" s="1857"/>
      <c r="BEM8" s="1857"/>
      <c r="BEN8" s="1857"/>
      <c r="BEO8" s="1857"/>
      <c r="BEP8" s="1857"/>
      <c r="BEQ8" s="454"/>
      <c r="BER8" s="1858"/>
      <c r="BES8" s="449"/>
      <c r="BET8" s="449"/>
      <c r="BEU8" s="449"/>
      <c r="BEV8" s="460"/>
      <c r="BEW8" s="460"/>
      <c r="BEX8" s="460"/>
      <c r="BEY8" s="460"/>
      <c r="BEZ8" s="460"/>
      <c r="BFA8" s="460"/>
      <c r="BFB8" s="450"/>
      <c r="BFC8" s="1857"/>
      <c r="BFD8" s="1857"/>
      <c r="BFE8" s="1857"/>
      <c r="BFF8" s="1857"/>
      <c r="BFG8" s="1857"/>
      <c r="BFH8" s="1857"/>
      <c r="BFI8" s="1857"/>
      <c r="BFJ8" s="1857"/>
      <c r="BFK8" s="1857"/>
      <c r="BFL8" s="1857"/>
      <c r="BFM8" s="1857"/>
      <c r="BFN8" s="1857"/>
      <c r="BFO8" s="1857"/>
      <c r="BFP8" s="454"/>
      <c r="BFQ8" s="1858"/>
      <c r="BFR8" s="449"/>
      <c r="BFS8" s="449"/>
      <c r="BFT8" s="449"/>
      <c r="BFU8" s="460"/>
      <c r="BFV8" s="460"/>
      <c r="BFW8" s="460"/>
      <c r="BFX8" s="460"/>
      <c r="BFY8" s="460"/>
      <c r="BFZ8" s="460"/>
      <c r="BGA8" s="450"/>
      <c r="BGB8" s="1857"/>
      <c r="BGC8" s="1857"/>
      <c r="BGD8" s="1857"/>
      <c r="BGE8" s="1857"/>
      <c r="BGF8" s="1857"/>
      <c r="BGG8" s="1857"/>
      <c r="BGH8" s="1857"/>
      <c r="BGI8" s="1857"/>
      <c r="BGJ8" s="1857"/>
      <c r="BGK8" s="1857"/>
      <c r="BGL8" s="1857"/>
      <c r="BGM8" s="1857"/>
      <c r="BGN8" s="1857"/>
      <c r="BGO8" s="454"/>
      <c r="BGP8" s="1858"/>
      <c r="BGQ8" s="449"/>
      <c r="BGR8" s="449"/>
      <c r="BGS8" s="449"/>
      <c r="BGT8" s="460"/>
      <c r="BGU8" s="460"/>
      <c r="BGV8" s="460"/>
      <c r="BGW8" s="460"/>
      <c r="BGX8" s="460"/>
      <c r="BGY8" s="460"/>
      <c r="BGZ8" s="450"/>
      <c r="BHA8" s="1857"/>
      <c r="BHB8" s="1857"/>
      <c r="BHC8" s="1857"/>
      <c r="BHD8" s="1857"/>
      <c r="BHE8" s="1857"/>
      <c r="BHF8" s="1857"/>
      <c r="BHG8" s="1857"/>
      <c r="BHH8" s="1857"/>
      <c r="BHI8" s="1857"/>
      <c r="BHJ8" s="1857"/>
      <c r="BHK8" s="1857"/>
      <c r="BHL8" s="1857"/>
      <c r="BHM8" s="1857"/>
      <c r="BHN8" s="454"/>
      <c r="BHO8" s="1858"/>
      <c r="BHP8" s="449"/>
      <c r="BHQ8" s="449"/>
      <c r="BHR8" s="449"/>
      <c r="BHS8" s="460"/>
      <c r="BHT8" s="460"/>
      <c r="BHU8" s="460"/>
      <c r="BHV8" s="460"/>
      <c r="BHW8" s="460"/>
      <c r="BHX8" s="460"/>
      <c r="BHY8" s="450"/>
      <c r="BHZ8" s="1857"/>
      <c r="BIA8" s="1857"/>
      <c r="BIB8" s="1857"/>
      <c r="BIC8" s="1857"/>
      <c r="BID8" s="1857"/>
      <c r="BIE8" s="1857"/>
      <c r="BIF8" s="1857"/>
      <c r="BIG8" s="1857"/>
      <c r="BIH8" s="1857"/>
      <c r="BII8" s="1857"/>
      <c r="BIJ8" s="1857"/>
      <c r="BIK8" s="1857"/>
      <c r="BIL8" s="1857"/>
      <c r="BIM8" s="454"/>
      <c r="BIN8" s="1858"/>
      <c r="BIO8" s="449"/>
      <c r="BIP8" s="449"/>
      <c r="BIQ8" s="449"/>
      <c r="BIR8" s="460"/>
      <c r="BIS8" s="460"/>
      <c r="BIT8" s="460"/>
      <c r="BIU8" s="460"/>
      <c r="BIV8" s="460"/>
      <c r="BIW8" s="460"/>
      <c r="BIX8" s="450"/>
      <c r="BIY8" s="1857"/>
      <c r="BIZ8" s="1857"/>
      <c r="BJA8" s="1857"/>
      <c r="BJB8" s="1857"/>
      <c r="BJC8" s="1857"/>
      <c r="BJD8" s="1857"/>
      <c r="BJE8" s="1857"/>
      <c r="BJF8" s="1857"/>
      <c r="BJG8" s="1857"/>
      <c r="BJH8" s="1857"/>
      <c r="BJI8" s="1857"/>
      <c r="BJJ8" s="1857"/>
      <c r="BJK8" s="1857"/>
      <c r="BJL8" s="454"/>
      <c r="BJM8" s="1858"/>
      <c r="BJN8" s="449"/>
      <c r="BJO8" s="449"/>
      <c r="BJP8" s="449"/>
      <c r="BJQ8" s="460"/>
      <c r="BJR8" s="460"/>
      <c r="BJS8" s="460"/>
      <c r="BJT8" s="460"/>
      <c r="BJU8" s="460"/>
      <c r="BJV8" s="460"/>
      <c r="BJW8" s="450"/>
      <c r="BJX8" s="1857"/>
      <c r="BJY8" s="1857"/>
      <c r="BJZ8" s="1857"/>
      <c r="BKA8" s="1857"/>
      <c r="BKB8" s="1857"/>
      <c r="BKC8" s="1857"/>
      <c r="BKD8" s="1857"/>
      <c r="BKE8" s="1857"/>
      <c r="BKF8" s="1857"/>
      <c r="BKG8" s="1857"/>
      <c r="BKH8" s="1857"/>
      <c r="BKI8" s="1857"/>
      <c r="BKJ8" s="1857"/>
      <c r="BKK8" s="454"/>
      <c r="BKL8" s="1858"/>
      <c r="BKM8" s="449"/>
      <c r="BKN8" s="449"/>
      <c r="BKO8" s="449"/>
      <c r="BKP8" s="460"/>
      <c r="BKQ8" s="460"/>
      <c r="BKR8" s="460"/>
      <c r="BKS8" s="460"/>
      <c r="BKT8" s="460"/>
      <c r="BKU8" s="460"/>
      <c r="BKV8" s="450"/>
      <c r="BKW8" s="1857"/>
      <c r="BKX8" s="1857"/>
      <c r="BKY8" s="1857"/>
      <c r="BKZ8" s="1857"/>
      <c r="BLA8" s="1857"/>
      <c r="BLB8" s="1857"/>
      <c r="BLC8" s="1857"/>
      <c r="BLD8" s="1857"/>
      <c r="BLE8" s="1857"/>
      <c r="BLF8" s="1857"/>
      <c r="BLG8" s="1857"/>
      <c r="BLH8" s="1857"/>
      <c r="BLI8" s="1857"/>
      <c r="BLJ8" s="454"/>
      <c r="BLK8" s="1858"/>
      <c r="BLL8" s="449"/>
      <c r="BLM8" s="449"/>
      <c r="BLN8" s="449"/>
      <c r="BLO8" s="460"/>
      <c r="BLP8" s="460"/>
      <c r="BLQ8" s="460"/>
      <c r="BLR8" s="460"/>
      <c r="BLS8" s="460"/>
      <c r="BLT8" s="460"/>
      <c r="BLU8" s="450"/>
      <c r="BLV8" s="1857"/>
      <c r="BLW8" s="1857"/>
      <c r="BLX8" s="1857"/>
      <c r="BLY8" s="1857"/>
      <c r="BLZ8" s="1857"/>
      <c r="BMA8" s="1857"/>
      <c r="BMB8" s="1857"/>
      <c r="BMC8" s="1857"/>
      <c r="BMD8" s="1857"/>
      <c r="BME8" s="1857"/>
      <c r="BMF8" s="1857"/>
      <c r="BMG8" s="1857"/>
      <c r="BMH8" s="1857"/>
      <c r="BMI8" s="454"/>
      <c r="BMJ8" s="1858"/>
      <c r="BMK8" s="449"/>
      <c r="BML8" s="449"/>
      <c r="BMM8" s="449"/>
      <c r="BMN8" s="460"/>
      <c r="BMO8" s="460"/>
      <c r="BMP8" s="460"/>
      <c r="BMQ8" s="460"/>
      <c r="BMR8" s="460"/>
      <c r="BMS8" s="460"/>
      <c r="BMT8" s="450"/>
      <c r="BMU8" s="1857"/>
      <c r="BMV8" s="1857"/>
      <c r="BMW8" s="1857"/>
      <c r="BMX8" s="1857"/>
      <c r="BMY8" s="1857"/>
      <c r="BMZ8" s="1857"/>
      <c r="BNA8" s="1857"/>
      <c r="BNB8" s="1857"/>
      <c r="BNC8" s="1857"/>
      <c r="BND8" s="1857"/>
      <c r="BNE8" s="1857"/>
      <c r="BNF8" s="1857"/>
      <c r="BNG8" s="1857"/>
      <c r="BNH8" s="454"/>
      <c r="BNI8" s="1858"/>
      <c r="BNJ8" s="449"/>
      <c r="BNK8" s="449"/>
      <c r="BNL8" s="449"/>
      <c r="BNM8" s="460"/>
      <c r="BNN8" s="460"/>
      <c r="BNO8" s="460"/>
      <c r="BNP8" s="460"/>
      <c r="BNQ8" s="460"/>
      <c r="BNR8" s="460"/>
      <c r="BNS8" s="450"/>
      <c r="BNT8" s="1857"/>
      <c r="BNU8" s="1857"/>
      <c r="BNV8" s="1857"/>
      <c r="BNW8" s="1857"/>
      <c r="BNX8" s="1857"/>
      <c r="BNY8" s="1857"/>
      <c r="BNZ8" s="1857"/>
      <c r="BOA8" s="1857"/>
      <c r="BOB8" s="1857"/>
      <c r="BOC8" s="1857"/>
      <c r="BOD8" s="1857"/>
      <c r="BOE8" s="1857"/>
      <c r="BOF8" s="1857"/>
      <c r="BOG8" s="454"/>
      <c r="BOH8" s="1858"/>
      <c r="BOI8" s="449"/>
      <c r="BOJ8" s="449"/>
      <c r="BOK8" s="449"/>
      <c r="BOL8" s="460"/>
      <c r="BOM8" s="460"/>
      <c r="BON8" s="460"/>
      <c r="BOO8" s="460"/>
      <c r="BOP8" s="460"/>
      <c r="BOQ8" s="460"/>
      <c r="BOR8" s="450"/>
      <c r="BOS8" s="1857"/>
      <c r="BOT8" s="1857"/>
      <c r="BOU8" s="1857"/>
      <c r="BOV8" s="1857"/>
      <c r="BOW8" s="1857"/>
      <c r="BOX8" s="1857"/>
      <c r="BOY8" s="1857"/>
      <c r="BOZ8" s="1857"/>
      <c r="BPA8" s="1857"/>
      <c r="BPB8" s="1857"/>
      <c r="BPC8" s="1857"/>
      <c r="BPD8" s="1857"/>
      <c r="BPE8" s="1857"/>
      <c r="BPF8" s="454"/>
      <c r="BPG8" s="1858"/>
      <c r="BPH8" s="449"/>
      <c r="BPI8" s="449"/>
      <c r="BPJ8" s="449"/>
      <c r="BPK8" s="460"/>
      <c r="BPL8" s="460"/>
      <c r="BPM8" s="460"/>
      <c r="BPN8" s="460"/>
      <c r="BPO8" s="460"/>
      <c r="BPP8" s="460"/>
      <c r="BPQ8" s="450"/>
      <c r="BPR8" s="1857"/>
      <c r="BPS8" s="1857"/>
      <c r="BPT8" s="1857"/>
      <c r="BPU8" s="1857"/>
      <c r="BPV8" s="1857"/>
      <c r="BPW8" s="1857"/>
      <c r="BPX8" s="1857"/>
      <c r="BPY8" s="1857"/>
      <c r="BPZ8" s="1857"/>
      <c r="BQA8" s="1857"/>
      <c r="BQB8" s="1857"/>
      <c r="BQC8" s="1857"/>
      <c r="BQD8" s="1857"/>
      <c r="BQE8" s="454"/>
      <c r="BQF8" s="1858"/>
      <c r="BQG8" s="449"/>
      <c r="BQH8" s="449"/>
      <c r="BQI8" s="449"/>
      <c r="BQJ8" s="460"/>
      <c r="BQK8" s="460"/>
      <c r="BQL8" s="460"/>
      <c r="BQM8" s="460"/>
      <c r="BQN8" s="460"/>
      <c r="BQO8" s="460"/>
      <c r="BQP8" s="450"/>
      <c r="BQQ8" s="1857"/>
      <c r="BQR8" s="1857"/>
      <c r="BQS8" s="1857"/>
      <c r="BQT8" s="1857"/>
      <c r="BQU8" s="1857"/>
      <c r="BQV8" s="1857"/>
      <c r="BQW8" s="1857"/>
      <c r="BQX8" s="1857"/>
      <c r="BQY8" s="1857"/>
      <c r="BQZ8" s="1857"/>
      <c r="BRA8" s="1857"/>
      <c r="BRB8" s="1857"/>
      <c r="BRC8" s="1857"/>
      <c r="BRD8" s="454"/>
      <c r="BRE8" s="1858"/>
      <c r="BRF8" s="449"/>
      <c r="BRG8" s="449"/>
      <c r="BRH8" s="449"/>
      <c r="BRI8" s="460"/>
      <c r="BRJ8" s="460"/>
      <c r="BRK8" s="460"/>
      <c r="BRL8" s="460"/>
      <c r="BRM8" s="460"/>
      <c r="BRN8" s="460"/>
      <c r="BRO8" s="450"/>
      <c r="BRP8" s="1857"/>
      <c r="BRQ8" s="1857"/>
      <c r="BRR8" s="1857"/>
      <c r="BRS8" s="1857"/>
      <c r="BRT8" s="1857"/>
      <c r="BRU8" s="1857"/>
      <c r="BRV8" s="1857"/>
      <c r="BRW8" s="1857"/>
      <c r="BRX8" s="1857"/>
      <c r="BRY8" s="1857"/>
      <c r="BRZ8" s="1857"/>
      <c r="BSA8" s="1857"/>
      <c r="BSB8" s="1857"/>
      <c r="BSC8" s="454"/>
      <c r="BSD8" s="1858"/>
      <c r="BSE8" s="449"/>
      <c r="BSF8" s="449"/>
      <c r="BSG8" s="449"/>
      <c r="BSH8" s="460"/>
      <c r="BSI8" s="460"/>
      <c r="BSJ8" s="460"/>
      <c r="BSK8" s="460"/>
      <c r="BSL8" s="460"/>
      <c r="BSM8" s="460"/>
      <c r="BSN8" s="450"/>
      <c r="BSO8" s="1857"/>
      <c r="BSP8" s="1857"/>
      <c r="BSQ8" s="1857"/>
      <c r="BSR8" s="1857"/>
      <c r="BSS8" s="1857"/>
      <c r="BST8" s="1857"/>
      <c r="BSU8" s="1857"/>
      <c r="BSV8" s="1857"/>
      <c r="BSW8" s="1857"/>
      <c r="BSX8" s="1857"/>
      <c r="BSY8" s="1857"/>
      <c r="BSZ8" s="1857"/>
      <c r="BTA8" s="1857"/>
      <c r="BTB8" s="454"/>
      <c r="BTC8" s="1858"/>
      <c r="BTD8" s="449"/>
      <c r="BTE8" s="449"/>
      <c r="BTF8" s="449"/>
      <c r="BTG8" s="460"/>
      <c r="BTH8" s="460"/>
      <c r="BTI8" s="460"/>
      <c r="BTJ8" s="460"/>
      <c r="BTK8" s="460"/>
      <c r="BTL8" s="460"/>
      <c r="BTM8" s="450"/>
      <c r="BTN8" s="1857"/>
      <c r="BTO8" s="1857"/>
      <c r="BTP8" s="1857"/>
      <c r="BTQ8" s="1857"/>
      <c r="BTR8" s="1857"/>
      <c r="BTS8" s="1857"/>
      <c r="BTT8" s="1857"/>
      <c r="BTU8" s="1857"/>
      <c r="BTV8" s="1857"/>
      <c r="BTW8" s="1857"/>
      <c r="BTX8" s="1857"/>
      <c r="BTY8" s="1857"/>
      <c r="BTZ8" s="1857"/>
      <c r="BUA8" s="454"/>
      <c r="BUB8" s="1858"/>
      <c r="BUC8" s="449"/>
      <c r="BUD8" s="449"/>
      <c r="BUE8" s="449"/>
      <c r="BUF8" s="460"/>
      <c r="BUG8" s="460"/>
      <c r="BUH8" s="460"/>
      <c r="BUI8" s="460"/>
      <c r="BUJ8" s="460"/>
      <c r="BUK8" s="460"/>
      <c r="BUL8" s="450"/>
      <c r="BUM8" s="1857"/>
      <c r="BUN8" s="1857"/>
      <c r="BUO8" s="1857"/>
      <c r="BUP8" s="1857"/>
      <c r="BUQ8" s="1857"/>
      <c r="BUR8" s="1857"/>
      <c r="BUS8" s="1857"/>
      <c r="BUT8" s="1857"/>
      <c r="BUU8" s="1857"/>
      <c r="BUV8" s="1857"/>
      <c r="BUW8" s="1857"/>
      <c r="BUX8" s="1857"/>
      <c r="BUY8" s="1857"/>
      <c r="BUZ8" s="454"/>
      <c r="BVA8" s="1858"/>
      <c r="BVB8" s="449"/>
      <c r="BVC8" s="449"/>
      <c r="BVD8" s="449"/>
      <c r="BVE8" s="460"/>
      <c r="BVF8" s="460"/>
      <c r="BVG8" s="460"/>
      <c r="BVH8" s="460"/>
      <c r="BVI8" s="460"/>
      <c r="BVJ8" s="460"/>
      <c r="BVK8" s="450"/>
      <c r="BVL8" s="1857"/>
      <c r="BVM8" s="1857"/>
      <c r="BVN8" s="1857"/>
      <c r="BVO8" s="1857"/>
      <c r="BVP8" s="1857"/>
      <c r="BVQ8" s="1857"/>
      <c r="BVR8" s="1857"/>
      <c r="BVS8" s="1857"/>
      <c r="BVT8" s="1857"/>
      <c r="BVU8" s="1857"/>
      <c r="BVV8" s="1857"/>
      <c r="BVW8" s="1857"/>
      <c r="BVX8" s="1857"/>
      <c r="BVY8" s="454"/>
      <c r="BVZ8" s="1858"/>
      <c r="BWA8" s="449"/>
      <c r="BWB8" s="449"/>
      <c r="BWC8" s="449"/>
      <c r="BWD8" s="460"/>
      <c r="BWE8" s="460"/>
      <c r="BWF8" s="460"/>
      <c r="BWG8" s="460"/>
      <c r="BWH8" s="460"/>
      <c r="BWI8" s="460"/>
      <c r="BWJ8" s="450"/>
      <c r="BWK8" s="1857"/>
      <c r="BWL8" s="1857"/>
      <c r="BWM8" s="1857"/>
      <c r="BWN8" s="1857"/>
      <c r="BWO8" s="1857"/>
      <c r="BWP8" s="1857"/>
      <c r="BWQ8" s="1857"/>
      <c r="BWR8" s="1857"/>
      <c r="BWS8" s="1857"/>
      <c r="BWT8" s="1857"/>
      <c r="BWU8" s="1857"/>
      <c r="BWV8" s="1857"/>
      <c r="BWW8" s="1857"/>
      <c r="BWX8" s="454"/>
      <c r="BWY8" s="1858"/>
      <c r="BWZ8" s="449"/>
      <c r="BXA8" s="449"/>
      <c r="BXB8" s="449"/>
      <c r="BXC8" s="460"/>
      <c r="BXD8" s="460"/>
      <c r="BXE8" s="460"/>
      <c r="BXF8" s="460"/>
      <c r="BXG8" s="460"/>
      <c r="BXH8" s="460"/>
      <c r="BXI8" s="450"/>
      <c r="BXJ8" s="1857"/>
      <c r="BXK8" s="1857"/>
      <c r="BXL8" s="1857"/>
      <c r="BXM8" s="1857"/>
      <c r="BXN8" s="1857"/>
      <c r="BXO8" s="1857"/>
      <c r="BXP8" s="1857"/>
      <c r="BXQ8" s="1857"/>
      <c r="BXR8" s="1857"/>
      <c r="BXS8" s="1857"/>
      <c r="BXT8" s="1857"/>
      <c r="BXU8" s="1857"/>
      <c r="BXV8" s="1857"/>
      <c r="BXW8" s="454"/>
      <c r="BXX8" s="1858"/>
      <c r="BXY8" s="449"/>
      <c r="BXZ8" s="449"/>
      <c r="BYA8" s="449"/>
      <c r="BYB8" s="460"/>
      <c r="BYC8" s="460"/>
      <c r="BYD8" s="460"/>
      <c r="BYE8" s="460"/>
      <c r="BYF8" s="460"/>
      <c r="BYG8" s="460"/>
      <c r="BYH8" s="450"/>
      <c r="BYI8" s="1857"/>
      <c r="BYJ8" s="1857"/>
      <c r="BYK8" s="1857"/>
      <c r="BYL8" s="1857"/>
      <c r="BYM8" s="1857"/>
      <c r="BYN8" s="1857"/>
      <c r="BYO8" s="1857"/>
      <c r="BYP8" s="1857"/>
      <c r="BYQ8" s="1857"/>
      <c r="BYR8" s="1857"/>
      <c r="BYS8" s="1857"/>
      <c r="BYT8" s="1857"/>
      <c r="BYU8" s="1857"/>
      <c r="BYV8" s="454"/>
      <c r="BYW8" s="1858"/>
      <c r="BYX8" s="449"/>
      <c r="BYY8" s="449"/>
      <c r="BYZ8" s="449"/>
      <c r="BZA8" s="460"/>
      <c r="BZB8" s="460"/>
      <c r="BZC8" s="460"/>
      <c r="BZD8" s="460"/>
      <c r="BZE8" s="460"/>
      <c r="BZF8" s="460"/>
      <c r="BZG8" s="450"/>
      <c r="BZH8" s="1857"/>
      <c r="BZI8" s="1857"/>
      <c r="BZJ8" s="1857"/>
      <c r="BZK8" s="1857"/>
      <c r="BZL8" s="1857"/>
      <c r="BZM8" s="1857"/>
      <c r="BZN8" s="1857"/>
      <c r="BZO8" s="1857"/>
      <c r="BZP8" s="1857"/>
      <c r="BZQ8" s="1857"/>
      <c r="BZR8" s="1857"/>
      <c r="BZS8" s="1857"/>
      <c r="BZT8" s="1857"/>
      <c r="BZU8" s="454"/>
      <c r="BZV8" s="1858"/>
      <c r="BZW8" s="449"/>
      <c r="BZX8" s="449"/>
      <c r="BZY8" s="449"/>
      <c r="BZZ8" s="460"/>
      <c r="CAA8" s="460"/>
      <c r="CAB8" s="460"/>
      <c r="CAC8" s="460"/>
      <c r="CAD8" s="460"/>
      <c r="CAE8" s="460"/>
      <c r="CAF8" s="450"/>
      <c r="CAG8" s="1857"/>
      <c r="CAH8" s="1857"/>
      <c r="CAI8" s="1857"/>
      <c r="CAJ8" s="1857"/>
      <c r="CAK8" s="1857"/>
      <c r="CAL8" s="1857"/>
      <c r="CAM8" s="1857"/>
      <c r="CAN8" s="1857"/>
      <c r="CAO8" s="1857"/>
      <c r="CAP8" s="1857"/>
      <c r="CAQ8" s="1857"/>
      <c r="CAR8" s="1857"/>
      <c r="CAS8" s="1857"/>
      <c r="CAT8" s="454"/>
      <c r="CAU8" s="1858"/>
      <c r="CAV8" s="449"/>
      <c r="CAW8" s="449"/>
      <c r="CAX8" s="449"/>
      <c r="CAY8" s="460"/>
      <c r="CAZ8" s="460"/>
      <c r="CBA8" s="460"/>
      <c r="CBB8" s="460"/>
      <c r="CBC8" s="460"/>
      <c r="CBD8" s="460"/>
      <c r="CBE8" s="450"/>
      <c r="CBF8" s="1857"/>
      <c r="CBG8" s="1857"/>
      <c r="CBH8" s="1857"/>
      <c r="CBI8" s="1857"/>
      <c r="CBJ8" s="1857"/>
      <c r="CBK8" s="1857"/>
      <c r="CBL8" s="1857"/>
      <c r="CBM8" s="1857"/>
      <c r="CBN8" s="1857"/>
      <c r="CBO8" s="1857"/>
      <c r="CBP8" s="1857"/>
      <c r="CBQ8" s="1857"/>
      <c r="CBR8" s="1857"/>
      <c r="CBS8" s="454"/>
      <c r="CBT8" s="1858"/>
      <c r="CBU8" s="449"/>
      <c r="CBV8" s="449"/>
      <c r="CBW8" s="449"/>
      <c r="CBX8" s="460"/>
      <c r="CBY8" s="460"/>
      <c r="CBZ8" s="460"/>
      <c r="CCA8" s="460"/>
      <c r="CCB8" s="460"/>
      <c r="CCC8" s="460"/>
      <c r="CCD8" s="450"/>
      <c r="CCE8" s="1857"/>
      <c r="CCF8" s="1857"/>
      <c r="CCG8" s="1857"/>
      <c r="CCH8" s="1857"/>
      <c r="CCI8" s="1857"/>
      <c r="CCJ8" s="1857"/>
      <c r="CCK8" s="1857"/>
      <c r="CCL8" s="1857"/>
      <c r="CCM8" s="1857"/>
      <c r="CCN8" s="1857"/>
      <c r="CCO8" s="1857"/>
      <c r="CCP8" s="1857"/>
      <c r="CCQ8" s="1857"/>
      <c r="CCR8" s="454"/>
      <c r="CCS8" s="1858"/>
      <c r="CCT8" s="449"/>
      <c r="CCU8" s="449"/>
      <c r="CCV8" s="449"/>
      <c r="CCW8" s="460"/>
      <c r="CCX8" s="460"/>
      <c r="CCY8" s="460"/>
      <c r="CCZ8" s="460"/>
      <c r="CDA8" s="460"/>
      <c r="CDB8" s="460"/>
      <c r="CDC8" s="450"/>
      <c r="CDD8" s="1857"/>
      <c r="CDE8" s="1857"/>
      <c r="CDF8" s="1857"/>
      <c r="CDG8" s="1857"/>
      <c r="CDH8" s="1857"/>
      <c r="CDI8" s="1857"/>
      <c r="CDJ8" s="1857"/>
      <c r="CDK8" s="1857"/>
      <c r="CDL8" s="1857"/>
      <c r="CDM8" s="1857"/>
      <c r="CDN8" s="1857"/>
      <c r="CDO8" s="1857"/>
      <c r="CDP8" s="1857"/>
      <c r="CDQ8" s="454"/>
      <c r="CDR8" s="1858"/>
      <c r="CDS8" s="449"/>
      <c r="CDT8" s="449"/>
      <c r="CDU8" s="449"/>
      <c r="CDV8" s="460"/>
      <c r="CDW8" s="460"/>
      <c r="CDX8" s="460"/>
      <c r="CDY8" s="460"/>
      <c r="CDZ8" s="460"/>
      <c r="CEA8" s="460"/>
      <c r="CEB8" s="450"/>
      <c r="CEC8" s="1857"/>
      <c r="CED8" s="1857"/>
      <c r="CEE8" s="1857"/>
      <c r="CEF8" s="1857"/>
      <c r="CEG8" s="1857"/>
      <c r="CEH8" s="1857"/>
      <c r="CEI8" s="1857"/>
      <c r="CEJ8" s="1857"/>
      <c r="CEK8" s="1857"/>
      <c r="CEL8" s="1857"/>
      <c r="CEM8" s="1857"/>
      <c r="CEN8" s="1857"/>
      <c r="CEO8" s="1857"/>
      <c r="CEP8" s="454"/>
      <c r="CEQ8" s="1858"/>
      <c r="CER8" s="449"/>
      <c r="CES8" s="449"/>
      <c r="CET8" s="449"/>
      <c r="CEU8" s="460"/>
      <c r="CEV8" s="460"/>
      <c r="CEW8" s="460"/>
      <c r="CEX8" s="460"/>
      <c r="CEY8" s="460"/>
      <c r="CEZ8" s="460"/>
      <c r="CFA8" s="450"/>
      <c r="CFB8" s="1857"/>
      <c r="CFC8" s="1857"/>
      <c r="CFD8" s="1857"/>
      <c r="CFE8" s="1857"/>
      <c r="CFF8" s="1857"/>
      <c r="CFG8" s="1857"/>
      <c r="CFH8" s="1857"/>
      <c r="CFI8" s="1857"/>
      <c r="CFJ8" s="1857"/>
      <c r="CFK8" s="1857"/>
      <c r="CFL8" s="1857"/>
      <c r="CFM8" s="1857"/>
      <c r="CFN8" s="1857"/>
      <c r="CFO8" s="454"/>
      <c r="CFP8" s="1858"/>
      <c r="CFQ8" s="449"/>
      <c r="CFR8" s="449"/>
      <c r="CFS8" s="449"/>
      <c r="CFT8" s="460"/>
      <c r="CFU8" s="460"/>
      <c r="CFV8" s="460"/>
      <c r="CFW8" s="460"/>
      <c r="CFX8" s="460"/>
      <c r="CFY8" s="460"/>
      <c r="CFZ8" s="450"/>
      <c r="CGA8" s="1857"/>
      <c r="CGB8" s="1857"/>
      <c r="CGC8" s="1857"/>
      <c r="CGD8" s="1857"/>
      <c r="CGE8" s="1857"/>
      <c r="CGF8" s="1857"/>
      <c r="CGG8" s="1857"/>
      <c r="CGH8" s="1857"/>
      <c r="CGI8" s="1857"/>
      <c r="CGJ8" s="1857"/>
      <c r="CGK8" s="1857"/>
      <c r="CGL8" s="1857"/>
      <c r="CGM8" s="1857"/>
      <c r="CGN8" s="454"/>
      <c r="CGO8" s="1858"/>
      <c r="CGP8" s="449"/>
      <c r="CGQ8" s="449"/>
      <c r="CGR8" s="449"/>
      <c r="CGS8" s="460"/>
      <c r="CGT8" s="460"/>
      <c r="CGU8" s="460"/>
      <c r="CGV8" s="460"/>
      <c r="CGW8" s="460"/>
      <c r="CGX8" s="460"/>
      <c r="CGY8" s="450"/>
      <c r="CGZ8" s="1857"/>
      <c r="CHA8" s="1857"/>
      <c r="CHB8" s="1857"/>
      <c r="CHC8" s="1857"/>
      <c r="CHD8" s="1857"/>
      <c r="CHE8" s="1857"/>
      <c r="CHF8" s="1857"/>
      <c r="CHG8" s="1857"/>
      <c r="CHH8" s="1857"/>
      <c r="CHI8" s="1857"/>
      <c r="CHJ8" s="1857"/>
      <c r="CHK8" s="1857"/>
      <c r="CHL8" s="1857"/>
      <c r="CHM8" s="454"/>
      <c r="CHN8" s="1858"/>
      <c r="CHO8" s="449"/>
      <c r="CHP8" s="449"/>
      <c r="CHQ8" s="449"/>
      <c r="CHR8" s="460"/>
      <c r="CHS8" s="460"/>
      <c r="CHT8" s="460"/>
      <c r="CHU8" s="460"/>
      <c r="CHV8" s="460"/>
      <c r="CHW8" s="460"/>
      <c r="CHX8" s="450"/>
      <c r="CHY8" s="1857"/>
      <c r="CHZ8" s="1857"/>
      <c r="CIA8" s="1857"/>
      <c r="CIB8" s="1857"/>
      <c r="CIC8" s="1857"/>
      <c r="CID8" s="1857"/>
      <c r="CIE8" s="1857"/>
      <c r="CIF8" s="1857"/>
      <c r="CIG8" s="1857"/>
      <c r="CIH8" s="1857"/>
      <c r="CII8" s="1857"/>
      <c r="CIJ8" s="1857"/>
      <c r="CIK8" s="1857"/>
      <c r="CIL8" s="454"/>
      <c r="CIM8" s="1858"/>
      <c r="CIN8" s="449"/>
      <c r="CIO8" s="449"/>
      <c r="CIP8" s="449"/>
      <c r="CIQ8" s="460"/>
      <c r="CIR8" s="460"/>
      <c r="CIS8" s="460"/>
      <c r="CIT8" s="460"/>
      <c r="CIU8" s="460"/>
      <c r="CIV8" s="460"/>
      <c r="CIW8" s="450"/>
      <c r="CIX8" s="1857"/>
      <c r="CIY8" s="1857"/>
      <c r="CIZ8" s="1857"/>
      <c r="CJA8" s="1857"/>
      <c r="CJB8" s="1857"/>
      <c r="CJC8" s="1857"/>
      <c r="CJD8" s="1857"/>
      <c r="CJE8" s="1857"/>
      <c r="CJF8" s="1857"/>
      <c r="CJG8" s="1857"/>
      <c r="CJH8" s="1857"/>
      <c r="CJI8" s="1857"/>
      <c r="CJJ8" s="1857"/>
      <c r="CJK8" s="454"/>
      <c r="CJL8" s="1858"/>
      <c r="CJM8" s="449"/>
      <c r="CJN8" s="449"/>
      <c r="CJO8" s="449"/>
      <c r="CJP8" s="460"/>
      <c r="CJQ8" s="460"/>
      <c r="CJR8" s="460"/>
      <c r="CJS8" s="460"/>
      <c r="CJT8" s="460"/>
      <c r="CJU8" s="460"/>
      <c r="CJV8" s="450"/>
      <c r="CJW8" s="1857"/>
      <c r="CJX8" s="1857"/>
      <c r="CJY8" s="1857"/>
      <c r="CJZ8" s="1857"/>
      <c r="CKA8" s="1857"/>
      <c r="CKB8" s="1857"/>
      <c r="CKC8" s="1857"/>
      <c r="CKD8" s="1857"/>
      <c r="CKE8" s="1857"/>
      <c r="CKF8" s="1857"/>
      <c r="CKG8" s="1857"/>
      <c r="CKH8" s="1857"/>
      <c r="CKI8" s="1857"/>
      <c r="CKJ8" s="454"/>
      <c r="CKK8" s="1858"/>
      <c r="CKL8" s="449"/>
      <c r="CKM8" s="449"/>
      <c r="CKN8" s="449"/>
      <c r="CKO8" s="460"/>
      <c r="CKP8" s="460"/>
      <c r="CKQ8" s="460"/>
      <c r="CKR8" s="460"/>
      <c r="CKS8" s="460"/>
      <c r="CKT8" s="460"/>
      <c r="CKU8" s="450"/>
      <c r="CKV8" s="1857"/>
      <c r="CKW8" s="1857"/>
      <c r="CKX8" s="1857"/>
      <c r="CKY8" s="1857"/>
      <c r="CKZ8" s="1857"/>
      <c r="CLA8" s="1857"/>
      <c r="CLB8" s="1857"/>
      <c r="CLC8" s="1857"/>
      <c r="CLD8" s="1857"/>
      <c r="CLE8" s="1857"/>
      <c r="CLF8" s="1857"/>
      <c r="CLG8" s="1857"/>
      <c r="CLH8" s="1857"/>
      <c r="CLI8" s="454"/>
      <c r="CLJ8" s="1858"/>
      <c r="CLK8" s="449"/>
      <c r="CLL8" s="449"/>
      <c r="CLM8" s="449"/>
      <c r="CLN8" s="460"/>
      <c r="CLO8" s="460"/>
      <c r="CLP8" s="460"/>
      <c r="CLQ8" s="460"/>
      <c r="CLR8" s="460"/>
      <c r="CLS8" s="460"/>
      <c r="CLT8" s="450"/>
      <c r="CLU8" s="1857"/>
      <c r="CLV8" s="1857"/>
      <c r="CLW8" s="1857"/>
      <c r="CLX8" s="1857"/>
      <c r="CLY8" s="1857"/>
      <c r="CLZ8" s="1857"/>
      <c r="CMA8" s="1857"/>
      <c r="CMB8" s="1857"/>
      <c r="CMC8" s="1857"/>
      <c r="CMD8" s="1857"/>
      <c r="CME8" s="1857"/>
      <c r="CMF8" s="1857"/>
      <c r="CMG8" s="1857"/>
      <c r="CMH8" s="454"/>
      <c r="CMI8" s="1858"/>
      <c r="CMJ8" s="449"/>
      <c r="CMK8" s="449"/>
      <c r="CML8" s="449"/>
      <c r="CMM8" s="460"/>
      <c r="CMN8" s="460"/>
      <c r="CMO8" s="460"/>
      <c r="CMP8" s="460"/>
      <c r="CMQ8" s="460"/>
      <c r="CMR8" s="460"/>
      <c r="CMS8" s="450"/>
      <c r="CMT8" s="1857"/>
      <c r="CMU8" s="1857"/>
      <c r="CMV8" s="1857"/>
      <c r="CMW8" s="1857"/>
      <c r="CMX8" s="1857"/>
      <c r="CMY8" s="1857"/>
      <c r="CMZ8" s="1857"/>
      <c r="CNA8" s="1857"/>
      <c r="CNB8" s="1857"/>
      <c r="CNC8" s="1857"/>
      <c r="CND8" s="1857"/>
      <c r="CNE8" s="1857"/>
      <c r="CNF8" s="1857"/>
      <c r="CNG8" s="454"/>
      <c r="CNH8" s="1858"/>
      <c r="CNI8" s="449"/>
      <c r="CNJ8" s="449"/>
      <c r="CNK8" s="449"/>
      <c r="CNL8" s="460"/>
      <c r="CNM8" s="460"/>
      <c r="CNN8" s="460"/>
      <c r="CNO8" s="460"/>
      <c r="CNP8" s="460"/>
      <c r="CNQ8" s="460"/>
      <c r="CNR8" s="450"/>
      <c r="CNS8" s="1857"/>
      <c r="CNT8" s="1857"/>
      <c r="CNU8" s="1857"/>
      <c r="CNV8" s="1857"/>
      <c r="CNW8" s="1857"/>
      <c r="CNX8" s="1857"/>
      <c r="CNY8" s="1857"/>
      <c r="CNZ8" s="1857"/>
      <c r="COA8" s="1857"/>
      <c r="COB8" s="1857"/>
      <c r="COC8" s="1857"/>
      <c r="COD8" s="1857"/>
      <c r="COE8" s="1857"/>
      <c r="COF8" s="454"/>
      <c r="COG8" s="1858"/>
      <c r="COH8" s="449"/>
      <c r="COI8" s="449"/>
      <c r="COJ8" s="449"/>
      <c r="COK8" s="460"/>
      <c r="COL8" s="460"/>
      <c r="COM8" s="460"/>
      <c r="CON8" s="460"/>
      <c r="COO8" s="460"/>
      <c r="COP8" s="460"/>
      <c r="COQ8" s="450"/>
      <c r="COR8" s="1857"/>
      <c r="COS8" s="1857"/>
      <c r="COT8" s="1857"/>
      <c r="COU8" s="1857"/>
      <c r="COV8" s="1857"/>
      <c r="COW8" s="1857"/>
      <c r="COX8" s="1857"/>
      <c r="COY8" s="1857"/>
      <c r="COZ8" s="1857"/>
      <c r="CPA8" s="1857"/>
      <c r="CPB8" s="1857"/>
      <c r="CPC8" s="1857"/>
      <c r="CPD8" s="1857"/>
      <c r="CPE8" s="454"/>
      <c r="CPF8" s="1858"/>
      <c r="CPG8" s="449"/>
      <c r="CPH8" s="449"/>
      <c r="CPI8" s="449"/>
      <c r="CPJ8" s="460"/>
      <c r="CPK8" s="460"/>
      <c r="CPL8" s="460"/>
      <c r="CPM8" s="460"/>
      <c r="CPN8" s="460"/>
      <c r="CPO8" s="460"/>
      <c r="CPP8" s="450"/>
      <c r="CPQ8" s="1857"/>
      <c r="CPR8" s="1857"/>
      <c r="CPS8" s="1857"/>
      <c r="CPT8" s="1857"/>
      <c r="CPU8" s="1857"/>
      <c r="CPV8" s="1857"/>
      <c r="CPW8" s="1857"/>
      <c r="CPX8" s="1857"/>
      <c r="CPY8" s="1857"/>
      <c r="CPZ8" s="1857"/>
      <c r="CQA8" s="1857"/>
      <c r="CQB8" s="1857"/>
      <c r="CQC8" s="1857"/>
      <c r="CQD8" s="454"/>
      <c r="CQE8" s="1858"/>
      <c r="CQF8" s="449"/>
      <c r="CQG8" s="449"/>
      <c r="CQH8" s="449"/>
      <c r="CQI8" s="460"/>
      <c r="CQJ8" s="460"/>
      <c r="CQK8" s="460"/>
      <c r="CQL8" s="460"/>
      <c r="CQM8" s="460"/>
      <c r="CQN8" s="460"/>
      <c r="CQO8" s="450"/>
      <c r="CQP8" s="1857"/>
      <c r="CQQ8" s="1857"/>
      <c r="CQR8" s="1857"/>
      <c r="CQS8" s="1857"/>
      <c r="CQT8" s="1857"/>
      <c r="CQU8" s="1857"/>
      <c r="CQV8" s="1857"/>
      <c r="CQW8" s="1857"/>
      <c r="CQX8" s="1857"/>
      <c r="CQY8" s="1857"/>
      <c r="CQZ8" s="1857"/>
      <c r="CRA8" s="1857"/>
      <c r="CRB8" s="1857"/>
      <c r="CRC8" s="454"/>
      <c r="CRD8" s="1858"/>
      <c r="CRE8" s="449"/>
      <c r="CRF8" s="449"/>
      <c r="CRG8" s="449"/>
      <c r="CRH8" s="460"/>
      <c r="CRI8" s="460"/>
      <c r="CRJ8" s="460"/>
      <c r="CRK8" s="460"/>
      <c r="CRL8" s="460"/>
      <c r="CRM8" s="460"/>
      <c r="CRN8" s="450"/>
      <c r="CRO8" s="1857"/>
      <c r="CRP8" s="1857"/>
      <c r="CRQ8" s="1857"/>
      <c r="CRR8" s="1857"/>
      <c r="CRS8" s="1857"/>
      <c r="CRT8" s="1857"/>
      <c r="CRU8" s="1857"/>
      <c r="CRV8" s="1857"/>
      <c r="CRW8" s="1857"/>
      <c r="CRX8" s="1857"/>
      <c r="CRY8" s="1857"/>
      <c r="CRZ8" s="1857"/>
      <c r="CSA8" s="1857"/>
      <c r="CSB8" s="454"/>
      <c r="CSC8" s="1858"/>
      <c r="CSD8" s="449"/>
      <c r="CSE8" s="449"/>
      <c r="CSF8" s="449"/>
      <c r="CSG8" s="460"/>
      <c r="CSH8" s="460"/>
      <c r="CSI8" s="460"/>
      <c r="CSJ8" s="460"/>
      <c r="CSK8" s="460"/>
      <c r="CSL8" s="460"/>
      <c r="CSM8" s="450"/>
      <c r="CSN8" s="1857"/>
      <c r="CSO8" s="1857"/>
      <c r="CSP8" s="1857"/>
      <c r="CSQ8" s="1857"/>
      <c r="CSR8" s="1857"/>
      <c r="CSS8" s="1857"/>
      <c r="CST8" s="1857"/>
      <c r="CSU8" s="1857"/>
      <c r="CSV8" s="1857"/>
      <c r="CSW8" s="1857"/>
      <c r="CSX8" s="1857"/>
      <c r="CSY8" s="1857"/>
      <c r="CSZ8" s="1857"/>
      <c r="CTA8" s="454"/>
      <c r="CTB8" s="1858"/>
      <c r="CTC8" s="449"/>
      <c r="CTD8" s="449"/>
      <c r="CTE8" s="449"/>
      <c r="CTF8" s="460"/>
      <c r="CTG8" s="460"/>
      <c r="CTH8" s="460"/>
      <c r="CTI8" s="460"/>
      <c r="CTJ8" s="460"/>
      <c r="CTK8" s="460"/>
      <c r="CTL8" s="450"/>
      <c r="CTM8" s="1857"/>
      <c r="CTN8" s="1857"/>
      <c r="CTO8" s="1857"/>
      <c r="CTP8" s="1857"/>
      <c r="CTQ8" s="1857"/>
      <c r="CTR8" s="1857"/>
      <c r="CTS8" s="1857"/>
      <c r="CTT8" s="1857"/>
      <c r="CTU8" s="1857"/>
      <c r="CTV8" s="1857"/>
      <c r="CTW8" s="1857"/>
      <c r="CTX8" s="1857"/>
      <c r="CTY8" s="1857"/>
      <c r="CTZ8" s="454"/>
      <c r="CUA8" s="1858"/>
      <c r="CUB8" s="449"/>
      <c r="CUC8" s="449"/>
      <c r="CUD8" s="449"/>
      <c r="CUE8" s="460"/>
      <c r="CUF8" s="460"/>
      <c r="CUG8" s="460"/>
      <c r="CUH8" s="460"/>
      <c r="CUI8" s="460"/>
      <c r="CUJ8" s="460"/>
      <c r="CUK8" s="450"/>
      <c r="CUL8" s="1857"/>
      <c r="CUM8" s="1857"/>
      <c r="CUN8" s="1857"/>
      <c r="CUO8" s="1857"/>
      <c r="CUP8" s="1857"/>
      <c r="CUQ8" s="1857"/>
      <c r="CUR8" s="1857"/>
      <c r="CUS8" s="1857"/>
      <c r="CUT8" s="1857"/>
      <c r="CUU8" s="1857"/>
      <c r="CUV8" s="1857"/>
      <c r="CUW8" s="1857"/>
      <c r="CUX8" s="1857"/>
      <c r="CUY8" s="454"/>
      <c r="CUZ8" s="1858"/>
      <c r="CVA8" s="449"/>
      <c r="CVB8" s="449"/>
      <c r="CVC8" s="449"/>
      <c r="CVD8" s="460"/>
      <c r="CVE8" s="460"/>
      <c r="CVF8" s="460"/>
      <c r="CVG8" s="460"/>
      <c r="CVH8" s="460"/>
      <c r="CVI8" s="460"/>
      <c r="CVJ8" s="450"/>
      <c r="CVK8" s="1857"/>
      <c r="CVL8" s="1857"/>
      <c r="CVM8" s="1857"/>
      <c r="CVN8" s="1857"/>
      <c r="CVO8" s="1857"/>
      <c r="CVP8" s="1857"/>
      <c r="CVQ8" s="1857"/>
      <c r="CVR8" s="1857"/>
      <c r="CVS8" s="1857"/>
      <c r="CVT8" s="1857"/>
      <c r="CVU8" s="1857"/>
      <c r="CVV8" s="1857"/>
      <c r="CVW8" s="1857"/>
      <c r="CVX8" s="454"/>
      <c r="CVY8" s="1858"/>
      <c r="CVZ8" s="449"/>
      <c r="CWA8" s="449"/>
      <c r="CWB8" s="449"/>
      <c r="CWC8" s="460"/>
      <c r="CWD8" s="460"/>
      <c r="CWE8" s="460"/>
      <c r="CWF8" s="460"/>
      <c r="CWG8" s="460"/>
      <c r="CWH8" s="460"/>
      <c r="CWI8" s="450"/>
      <c r="CWJ8" s="1857"/>
      <c r="CWK8" s="1857"/>
      <c r="CWL8" s="1857"/>
      <c r="CWM8" s="1857"/>
      <c r="CWN8" s="1857"/>
      <c r="CWO8" s="1857"/>
      <c r="CWP8" s="1857"/>
      <c r="CWQ8" s="1857"/>
      <c r="CWR8" s="1857"/>
      <c r="CWS8" s="1857"/>
      <c r="CWT8" s="1857"/>
      <c r="CWU8" s="1857"/>
      <c r="CWV8" s="1857"/>
      <c r="CWW8" s="454"/>
      <c r="CWX8" s="1858"/>
      <c r="CWY8" s="449"/>
      <c r="CWZ8" s="449"/>
      <c r="CXA8" s="449"/>
      <c r="CXB8" s="460"/>
      <c r="CXC8" s="460"/>
      <c r="CXD8" s="460"/>
      <c r="CXE8" s="460"/>
      <c r="CXF8" s="460"/>
      <c r="CXG8" s="460"/>
      <c r="CXH8" s="450"/>
      <c r="CXI8" s="1857"/>
      <c r="CXJ8" s="1857"/>
      <c r="CXK8" s="1857"/>
      <c r="CXL8" s="1857"/>
      <c r="CXM8" s="1857"/>
      <c r="CXN8" s="1857"/>
      <c r="CXO8" s="1857"/>
      <c r="CXP8" s="1857"/>
      <c r="CXQ8" s="1857"/>
      <c r="CXR8" s="1857"/>
      <c r="CXS8" s="1857"/>
      <c r="CXT8" s="1857"/>
      <c r="CXU8" s="1857"/>
      <c r="CXV8" s="454"/>
      <c r="CXW8" s="1858"/>
      <c r="CXX8" s="449"/>
      <c r="CXY8" s="449"/>
      <c r="CXZ8" s="449"/>
      <c r="CYA8" s="460"/>
      <c r="CYB8" s="460"/>
      <c r="CYC8" s="460"/>
      <c r="CYD8" s="460"/>
      <c r="CYE8" s="460"/>
      <c r="CYF8" s="460"/>
      <c r="CYG8" s="450"/>
      <c r="CYH8" s="1857"/>
      <c r="CYI8" s="1857"/>
      <c r="CYJ8" s="1857"/>
      <c r="CYK8" s="1857"/>
      <c r="CYL8" s="1857"/>
      <c r="CYM8" s="1857"/>
      <c r="CYN8" s="1857"/>
      <c r="CYO8" s="1857"/>
      <c r="CYP8" s="1857"/>
      <c r="CYQ8" s="1857"/>
      <c r="CYR8" s="1857"/>
      <c r="CYS8" s="1857"/>
      <c r="CYT8" s="1857"/>
      <c r="CYU8" s="454"/>
      <c r="CYV8" s="1858"/>
      <c r="CYW8" s="449"/>
      <c r="CYX8" s="449"/>
      <c r="CYY8" s="449"/>
      <c r="CYZ8" s="460"/>
      <c r="CZA8" s="460"/>
      <c r="CZB8" s="460"/>
      <c r="CZC8" s="460"/>
      <c r="CZD8" s="460"/>
      <c r="CZE8" s="460"/>
      <c r="CZF8" s="450"/>
      <c r="CZG8" s="1857"/>
      <c r="CZH8" s="1857"/>
      <c r="CZI8" s="1857"/>
      <c r="CZJ8" s="1857"/>
      <c r="CZK8" s="1857"/>
      <c r="CZL8" s="1857"/>
      <c r="CZM8" s="1857"/>
      <c r="CZN8" s="1857"/>
      <c r="CZO8" s="1857"/>
      <c r="CZP8" s="1857"/>
      <c r="CZQ8" s="1857"/>
      <c r="CZR8" s="1857"/>
      <c r="CZS8" s="1857"/>
      <c r="CZT8" s="454"/>
      <c r="CZU8" s="1858"/>
      <c r="CZV8" s="449"/>
      <c r="CZW8" s="449"/>
      <c r="CZX8" s="449"/>
      <c r="CZY8" s="460"/>
      <c r="CZZ8" s="460"/>
      <c r="DAA8" s="460"/>
      <c r="DAB8" s="460"/>
      <c r="DAC8" s="460"/>
      <c r="DAD8" s="460"/>
      <c r="DAE8" s="450"/>
      <c r="DAF8" s="1857"/>
      <c r="DAG8" s="1857"/>
      <c r="DAH8" s="1857"/>
      <c r="DAI8" s="1857"/>
      <c r="DAJ8" s="1857"/>
      <c r="DAK8" s="1857"/>
      <c r="DAL8" s="1857"/>
      <c r="DAM8" s="1857"/>
      <c r="DAN8" s="1857"/>
      <c r="DAO8" s="1857"/>
      <c r="DAP8" s="1857"/>
      <c r="DAQ8" s="1857"/>
      <c r="DAR8" s="1857"/>
      <c r="DAS8" s="454"/>
      <c r="DAT8" s="1858"/>
      <c r="DAU8" s="449"/>
      <c r="DAV8" s="449"/>
      <c r="DAW8" s="449"/>
      <c r="DAX8" s="460"/>
      <c r="DAY8" s="460"/>
      <c r="DAZ8" s="460"/>
      <c r="DBA8" s="460"/>
      <c r="DBB8" s="460"/>
      <c r="DBC8" s="460"/>
      <c r="DBD8" s="450"/>
      <c r="DBE8" s="1857"/>
      <c r="DBF8" s="1857"/>
      <c r="DBG8" s="1857"/>
      <c r="DBH8" s="1857"/>
      <c r="DBI8" s="1857"/>
      <c r="DBJ8" s="1857"/>
      <c r="DBK8" s="1857"/>
      <c r="DBL8" s="1857"/>
      <c r="DBM8" s="1857"/>
      <c r="DBN8" s="1857"/>
      <c r="DBO8" s="1857"/>
      <c r="DBP8" s="1857"/>
      <c r="DBQ8" s="1857"/>
      <c r="DBR8" s="454"/>
      <c r="DBS8" s="1858"/>
      <c r="DBT8" s="449"/>
      <c r="DBU8" s="449"/>
      <c r="DBV8" s="449"/>
      <c r="DBW8" s="460"/>
      <c r="DBX8" s="460"/>
      <c r="DBY8" s="460"/>
      <c r="DBZ8" s="460"/>
      <c r="DCA8" s="460"/>
      <c r="DCB8" s="460"/>
      <c r="DCC8" s="450"/>
      <c r="DCD8" s="1857"/>
      <c r="DCE8" s="1857"/>
      <c r="DCF8" s="1857"/>
      <c r="DCG8" s="1857"/>
      <c r="DCH8" s="1857"/>
      <c r="DCI8" s="1857"/>
      <c r="DCJ8" s="1857"/>
      <c r="DCK8" s="1857"/>
      <c r="DCL8" s="1857"/>
      <c r="DCM8" s="1857"/>
      <c r="DCN8" s="1857"/>
      <c r="DCO8" s="1857"/>
      <c r="DCP8" s="1857"/>
      <c r="DCQ8" s="454"/>
      <c r="DCR8" s="1858"/>
      <c r="DCS8" s="449"/>
      <c r="DCT8" s="449"/>
      <c r="DCU8" s="449"/>
      <c r="DCV8" s="460"/>
      <c r="DCW8" s="460"/>
      <c r="DCX8" s="460"/>
      <c r="DCY8" s="460"/>
      <c r="DCZ8" s="460"/>
      <c r="DDA8" s="460"/>
      <c r="DDB8" s="450"/>
      <c r="DDC8" s="1857"/>
      <c r="DDD8" s="1857"/>
      <c r="DDE8" s="1857"/>
      <c r="DDF8" s="1857"/>
      <c r="DDG8" s="1857"/>
      <c r="DDH8" s="1857"/>
      <c r="DDI8" s="1857"/>
      <c r="DDJ8" s="1857"/>
      <c r="DDK8" s="1857"/>
      <c r="DDL8" s="1857"/>
      <c r="DDM8" s="1857"/>
      <c r="DDN8" s="1857"/>
      <c r="DDO8" s="1857"/>
      <c r="DDP8" s="454"/>
      <c r="DDQ8" s="1858"/>
      <c r="DDR8" s="449"/>
      <c r="DDS8" s="449"/>
      <c r="DDT8" s="449"/>
      <c r="DDU8" s="460"/>
      <c r="DDV8" s="460"/>
      <c r="DDW8" s="460"/>
      <c r="DDX8" s="460"/>
      <c r="DDY8" s="460"/>
      <c r="DDZ8" s="460"/>
      <c r="DEA8" s="450"/>
      <c r="DEB8" s="1857"/>
      <c r="DEC8" s="1857"/>
      <c r="DED8" s="1857"/>
      <c r="DEE8" s="1857"/>
      <c r="DEF8" s="1857"/>
      <c r="DEG8" s="1857"/>
      <c r="DEH8" s="1857"/>
      <c r="DEI8" s="1857"/>
      <c r="DEJ8" s="1857"/>
      <c r="DEK8" s="1857"/>
      <c r="DEL8" s="1857"/>
      <c r="DEM8" s="1857"/>
      <c r="DEN8" s="1857"/>
      <c r="DEO8" s="454"/>
      <c r="DEP8" s="1858"/>
      <c r="DEQ8" s="449"/>
      <c r="DER8" s="449"/>
      <c r="DES8" s="449"/>
      <c r="DET8" s="460"/>
      <c r="DEU8" s="460"/>
      <c r="DEV8" s="460"/>
      <c r="DEW8" s="460"/>
      <c r="DEX8" s="460"/>
      <c r="DEY8" s="460"/>
      <c r="DEZ8" s="450"/>
      <c r="DFA8" s="1857"/>
      <c r="DFB8" s="1857"/>
      <c r="DFC8" s="1857"/>
      <c r="DFD8" s="1857"/>
      <c r="DFE8" s="1857"/>
      <c r="DFF8" s="1857"/>
      <c r="DFG8" s="1857"/>
      <c r="DFH8" s="1857"/>
      <c r="DFI8" s="1857"/>
      <c r="DFJ8" s="1857"/>
      <c r="DFK8" s="1857"/>
      <c r="DFL8" s="1857"/>
      <c r="DFM8" s="1857"/>
      <c r="DFN8" s="454"/>
      <c r="DFO8" s="1858"/>
      <c r="DFP8" s="449"/>
      <c r="DFQ8" s="449"/>
      <c r="DFR8" s="449"/>
      <c r="DFS8" s="460"/>
      <c r="DFT8" s="460"/>
      <c r="DFU8" s="460"/>
      <c r="DFV8" s="460"/>
      <c r="DFW8" s="460"/>
      <c r="DFX8" s="460"/>
      <c r="DFY8" s="450"/>
      <c r="DFZ8" s="1857"/>
      <c r="DGA8" s="1857"/>
      <c r="DGB8" s="1857"/>
      <c r="DGC8" s="1857"/>
      <c r="DGD8" s="1857"/>
      <c r="DGE8" s="1857"/>
      <c r="DGF8" s="1857"/>
      <c r="DGG8" s="1857"/>
      <c r="DGH8" s="1857"/>
      <c r="DGI8" s="1857"/>
      <c r="DGJ8" s="1857"/>
      <c r="DGK8" s="1857"/>
      <c r="DGL8" s="1857"/>
      <c r="DGM8" s="454"/>
      <c r="DGN8" s="1858"/>
      <c r="DGO8" s="449"/>
      <c r="DGP8" s="449"/>
      <c r="DGQ8" s="449"/>
      <c r="DGR8" s="460"/>
      <c r="DGS8" s="460"/>
      <c r="DGT8" s="460"/>
      <c r="DGU8" s="460"/>
      <c r="DGV8" s="460"/>
      <c r="DGW8" s="460"/>
      <c r="DGX8" s="450"/>
      <c r="DGY8" s="1857"/>
      <c r="DGZ8" s="1857"/>
      <c r="DHA8" s="1857"/>
      <c r="DHB8" s="1857"/>
      <c r="DHC8" s="1857"/>
      <c r="DHD8" s="1857"/>
      <c r="DHE8" s="1857"/>
      <c r="DHF8" s="1857"/>
      <c r="DHG8" s="1857"/>
      <c r="DHH8" s="1857"/>
      <c r="DHI8" s="1857"/>
      <c r="DHJ8" s="1857"/>
      <c r="DHK8" s="1857"/>
      <c r="DHL8" s="454"/>
      <c r="DHM8" s="1858"/>
      <c r="DHN8" s="449"/>
      <c r="DHO8" s="449"/>
      <c r="DHP8" s="449"/>
      <c r="DHQ8" s="460"/>
      <c r="DHR8" s="460"/>
      <c r="DHS8" s="460"/>
      <c r="DHT8" s="460"/>
      <c r="DHU8" s="460"/>
      <c r="DHV8" s="460"/>
      <c r="DHW8" s="450"/>
      <c r="DHX8" s="1857"/>
      <c r="DHY8" s="1857"/>
      <c r="DHZ8" s="1857"/>
      <c r="DIA8" s="1857"/>
      <c r="DIB8" s="1857"/>
      <c r="DIC8" s="1857"/>
      <c r="DID8" s="1857"/>
      <c r="DIE8" s="1857"/>
      <c r="DIF8" s="1857"/>
      <c r="DIG8" s="1857"/>
      <c r="DIH8" s="1857"/>
      <c r="DII8" s="1857"/>
      <c r="DIJ8" s="1857"/>
      <c r="DIK8" s="454"/>
      <c r="DIL8" s="1858"/>
      <c r="DIM8" s="449"/>
      <c r="DIN8" s="449"/>
      <c r="DIO8" s="449"/>
      <c r="DIP8" s="460"/>
      <c r="DIQ8" s="460"/>
      <c r="DIR8" s="460"/>
      <c r="DIS8" s="460"/>
      <c r="DIT8" s="460"/>
      <c r="DIU8" s="460"/>
      <c r="DIV8" s="450"/>
      <c r="DIW8" s="1857"/>
      <c r="DIX8" s="1857"/>
      <c r="DIY8" s="1857"/>
      <c r="DIZ8" s="1857"/>
      <c r="DJA8" s="1857"/>
      <c r="DJB8" s="1857"/>
      <c r="DJC8" s="1857"/>
      <c r="DJD8" s="1857"/>
      <c r="DJE8" s="1857"/>
      <c r="DJF8" s="1857"/>
      <c r="DJG8" s="1857"/>
      <c r="DJH8" s="1857"/>
      <c r="DJI8" s="1857"/>
      <c r="DJJ8" s="454"/>
      <c r="DJK8" s="1858"/>
      <c r="DJL8" s="449"/>
      <c r="DJM8" s="449"/>
      <c r="DJN8" s="449"/>
      <c r="DJO8" s="460"/>
      <c r="DJP8" s="460"/>
      <c r="DJQ8" s="460"/>
      <c r="DJR8" s="460"/>
      <c r="DJS8" s="460"/>
      <c r="DJT8" s="460"/>
      <c r="DJU8" s="450"/>
      <c r="DJV8" s="1857"/>
      <c r="DJW8" s="1857"/>
      <c r="DJX8" s="1857"/>
      <c r="DJY8" s="1857"/>
      <c r="DJZ8" s="1857"/>
      <c r="DKA8" s="1857"/>
      <c r="DKB8" s="1857"/>
      <c r="DKC8" s="1857"/>
      <c r="DKD8" s="1857"/>
      <c r="DKE8" s="1857"/>
      <c r="DKF8" s="1857"/>
      <c r="DKG8" s="1857"/>
      <c r="DKH8" s="1857"/>
      <c r="DKI8" s="454"/>
      <c r="DKJ8" s="1858"/>
      <c r="DKK8" s="449"/>
      <c r="DKL8" s="449"/>
      <c r="DKM8" s="449"/>
      <c r="DKN8" s="460"/>
      <c r="DKO8" s="460"/>
      <c r="DKP8" s="460"/>
      <c r="DKQ8" s="460"/>
      <c r="DKR8" s="460"/>
      <c r="DKS8" s="460"/>
      <c r="DKT8" s="450"/>
      <c r="DKU8" s="1857"/>
      <c r="DKV8" s="1857"/>
      <c r="DKW8" s="1857"/>
      <c r="DKX8" s="1857"/>
      <c r="DKY8" s="1857"/>
      <c r="DKZ8" s="1857"/>
      <c r="DLA8" s="1857"/>
      <c r="DLB8" s="1857"/>
      <c r="DLC8" s="1857"/>
      <c r="DLD8" s="1857"/>
      <c r="DLE8" s="1857"/>
      <c r="DLF8" s="1857"/>
      <c r="DLG8" s="1857"/>
      <c r="DLH8" s="454"/>
      <c r="DLI8" s="1858"/>
      <c r="DLJ8" s="449"/>
      <c r="DLK8" s="449"/>
      <c r="DLL8" s="449"/>
      <c r="DLM8" s="460"/>
      <c r="DLN8" s="460"/>
      <c r="DLO8" s="460"/>
      <c r="DLP8" s="460"/>
      <c r="DLQ8" s="460"/>
      <c r="DLR8" s="460"/>
      <c r="DLS8" s="450"/>
      <c r="DLT8" s="1857"/>
      <c r="DLU8" s="1857"/>
      <c r="DLV8" s="1857"/>
      <c r="DLW8" s="1857"/>
      <c r="DLX8" s="1857"/>
      <c r="DLY8" s="1857"/>
      <c r="DLZ8" s="1857"/>
      <c r="DMA8" s="1857"/>
      <c r="DMB8" s="1857"/>
      <c r="DMC8" s="1857"/>
      <c r="DMD8" s="1857"/>
      <c r="DME8" s="1857"/>
      <c r="DMF8" s="1857"/>
      <c r="DMG8" s="454"/>
      <c r="DMH8" s="1858"/>
      <c r="DMI8" s="449"/>
      <c r="DMJ8" s="449"/>
      <c r="DMK8" s="449"/>
      <c r="DML8" s="460"/>
      <c r="DMM8" s="460"/>
      <c r="DMN8" s="460"/>
      <c r="DMO8" s="460"/>
      <c r="DMP8" s="460"/>
      <c r="DMQ8" s="460"/>
      <c r="DMR8" s="450"/>
      <c r="DMS8" s="1857"/>
      <c r="DMT8" s="1857"/>
      <c r="DMU8" s="1857"/>
      <c r="DMV8" s="1857"/>
      <c r="DMW8" s="1857"/>
      <c r="DMX8" s="1857"/>
      <c r="DMY8" s="1857"/>
      <c r="DMZ8" s="1857"/>
      <c r="DNA8" s="1857"/>
      <c r="DNB8" s="1857"/>
      <c r="DNC8" s="1857"/>
      <c r="DND8" s="1857"/>
      <c r="DNE8" s="1857"/>
      <c r="DNF8" s="454"/>
      <c r="DNG8" s="1858"/>
      <c r="DNH8" s="449"/>
      <c r="DNI8" s="449"/>
      <c r="DNJ8" s="449"/>
      <c r="DNK8" s="460"/>
      <c r="DNL8" s="460"/>
      <c r="DNM8" s="460"/>
      <c r="DNN8" s="460"/>
      <c r="DNO8" s="460"/>
      <c r="DNP8" s="460"/>
      <c r="DNQ8" s="450"/>
      <c r="DNR8" s="1857"/>
      <c r="DNS8" s="1857"/>
      <c r="DNT8" s="1857"/>
      <c r="DNU8" s="1857"/>
      <c r="DNV8" s="1857"/>
      <c r="DNW8" s="1857"/>
      <c r="DNX8" s="1857"/>
      <c r="DNY8" s="1857"/>
      <c r="DNZ8" s="1857"/>
      <c r="DOA8" s="1857"/>
      <c r="DOB8" s="1857"/>
      <c r="DOC8" s="1857"/>
      <c r="DOD8" s="1857"/>
      <c r="DOE8" s="454"/>
      <c r="DOF8" s="1858"/>
      <c r="DOG8" s="449"/>
      <c r="DOH8" s="449"/>
      <c r="DOI8" s="449"/>
      <c r="DOJ8" s="460"/>
      <c r="DOK8" s="460"/>
      <c r="DOL8" s="460"/>
      <c r="DOM8" s="460"/>
      <c r="DON8" s="460"/>
      <c r="DOO8" s="460"/>
      <c r="DOP8" s="450"/>
      <c r="DOQ8" s="1857"/>
      <c r="DOR8" s="1857"/>
      <c r="DOS8" s="1857"/>
      <c r="DOT8" s="1857"/>
      <c r="DOU8" s="1857"/>
      <c r="DOV8" s="1857"/>
      <c r="DOW8" s="1857"/>
      <c r="DOX8" s="1857"/>
      <c r="DOY8" s="1857"/>
      <c r="DOZ8" s="1857"/>
      <c r="DPA8" s="1857"/>
      <c r="DPB8" s="1857"/>
      <c r="DPC8" s="1857"/>
      <c r="DPD8" s="454"/>
      <c r="DPE8" s="1858"/>
      <c r="DPF8" s="449"/>
      <c r="DPG8" s="449"/>
      <c r="DPH8" s="449"/>
      <c r="DPI8" s="460"/>
      <c r="DPJ8" s="460"/>
      <c r="DPK8" s="460"/>
      <c r="DPL8" s="460"/>
      <c r="DPM8" s="460"/>
      <c r="DPN8" s="460"/>
      <c r="DPO8" s="450"/>
      <c r="DPP8" s="1857"/>
      <c r="DPQ8" s="1857"/>
      <c r="DPR8" s="1857"/>
      <c r="DPS8" s="1857"/>
      <c r="DPT8" s="1857"/>
      <c r="DPU8" s="1857"/>
      <c r="DPV8" s="1857"/>
      <c r="DPW8" s="1857"/>
      <c r="DPX8" s="1857"/>
      <c r="DPY8" s="1857"/>
      <c r="DPZ8" s="1857"/>
      <c r="DQA8" s="1857"/>
      <c r="DQB8" s="1857"/>
      <c r="DQC8" s="454"/>
      <c r="DQD8" s="1858"/>
      <c r="DQE8" s="449"/>
      <c r="DQF8" s="449"/>
      <c r="DQG8" s="449"/>
      <c r="DQH8" s="460"/>
      <c r="DQI8" s="460"/>
      <c r="DQJ8" s="460"/>
      <c r="DQK8" s="460"/>
      <c r="DQL8" s="460"/>
      <c r="DQM8" s="460"/>
      <c r="DQN8" s="450"/>
      <c r="DQO8" s="1857"/>
      <c r="DQP8" s="1857"/>
      <c r="DQQ8" s="1857"/>
      <c r="DQR8" s="1857"/>
      <c r="DQS8" s="1857"/>
      <c r="DQT8" s="1857"/>
      <c r="DQU8" s="1857"/>
      <c r="DQV8" s="1857"/>
      <c r="DQW8" s="1857"/>
      <c r="DQX8" s="1857"/>
      <c r="DQY8" s="1857"/>
      <c r="DQZ8" s="1857"/>
      <c r="DRA8" s="1857"/>
      <c r="DRB8" s="454"/>
      <c r="DRC8" s="1858"/>
      <c r="DRD8" s="449"/>
      <c r="DRE8" s="449"/>
      <c r="DRF8" s="449"/>
      <c r="DRG8" s="460"/>
      <c r="DRH8" s="460"/>
      <c r="DRI8" s="460"/>
      <c r="DRJ8" s="460"/>
      <c r="DRK8" s="460"/>
      <c r="DRL8" s="460"/>
      <c r="DRM8" s="450"/>
      <c r="DRN8" s="1857"/>
      <c r="DRO8" s="1857"/>
      <c r="DRP8" s="1857"/>
      <c r="DRQ8" s="1857"/>
      <c r="DRR8" s="1857"/>
      <c r="DRS8" s="1857"/>
      <c r="DRT8" s="1857"/>
      <c r="DRU8" s="1857"/>
      <c r="DRV8" s="1857"/>
      <c r="DRW8" s="1857"/>
      <c r="DRX8" s="1857"/>
      <c r="DRY8" s="1857"/>
      <c r="DRZ8" s="1857"/>
      <c r="DSA8" s="454"/>
      <c r="DSB8" s="1858"/>
      <c r="DSC8" s="449"/>
      <c r="DSD8" s="449"/>
      <c r="DSE8" s="449"/>
      <c r="DSF8" s="460"/>
      <c r="DSG8" s="460"/>
      <c r="DSH8" s="460"/>
      <c r="DSI8" s="460"/>
      <c r="DSJ8" s="460"/>
      <c r="DSK8" s="460"/>
      <c r="DSL8" s="450"/>
      <c r="DSM8" s="1857"/>
      <c r="DSN8" s="1857"/>
      <c r="DSO8" s="1857"/>
      <c r="DSP8" s="1857"/>
      <c r="DSQ8" s="1857"/>
      <c r="DSR8" s="1857"/>
      <c r="DSS8" s="1857"/>
      <c r="DST8" s="1857"/>
      <c r="DSU8" s="1857"/>
      <c r="DSV8" s="1857"/>
      <c r="DSW8" s="1857"/>
      <c r="DSX8" s="1857"/>
      <c r="DSY8" s="1857"/>
      <c r="DSZ8" s="454"/>
      <c r="DTA8" s="1858"/>
      <c r="DTB8" s="449"/>
      <c r="DTC8" s="449"/>
      <c r="DTD8" s="449"/>
      <c r="DTE8" s="460"/>
      <c r="DTF8" s="460"/>
      <c r="DTG8" s="460"/>
      <c r="DTH8" s="460"/>
      <c r="DTI8" s="460"/>
      <c r="DTJ8" s="460"/>
      <c r="DTK8" s="450"/>
      <c r="DTL8" s="1857"/>
      <c r="DTM8" s="1857"/>
      <c r="DTN8" s="1857"/>
      <c r="DTO8" s="1857"/>
      <c r="DTP8" s="1857"/>
      <c r="DTQ8" s="1857"/>
      <c r="DTR8" s="1857"/>
      <c r="DTS8" s="1857"/>
      <c r="DTT8" s="1857"/>
      <c r="DTU8" s="1857"/>
      <c r="DTV8" s="1857"/>
      <c r="DTW8" s="1857"/>
      <c r="DTX8" s="1857"/>
      <c r="DTY8" s="454"/>
      <c r="DTZ8" s="1858"/>
      <c r="DUA8" s="449"/>
      <c r="DUB8" s="449"/>
      <c r="DUC8" s="449"/>
      <c r="DUD8" s="460"/>
      <c r="DUE8" s="460"/>
      <c r="DUF8" s="460"/>
      <c r="DUG8" s="460"/>
      <c r="DUH8" s="460"/>
      <c r="DUI8" s="460"/>
      <c r="DUJ8" s="450"/>
      <c r="DUK8" s="1857"/>
      <c r="DUL8" s="1857"/>
      <c r="DUM8" s="1857"/>
      <c r="DUN8" s="1857"/>
      <c r="DUO8" s="1857"/>
      <c r="DUP8" s="1857"/>
      <c r="DUQ8" s="1857"/>
      <c r="DUR8" s="1857"/>
      <c r="DUS8" s="1857"/>
      <c r="DUT8" s="1857"/>
      <c r="DUU8" s="1857"/>
      <c r="DUV8" s="1857"/>
      <c r="DUW8" s="1857"/>
      <c r="DUX8" s="454"/>
      <c r="DUY8" s="1858"/>
      <c r="DUZ8" s="449"/>
      <c r="DVA8" s="449"/>
      <c r="DVB8" s="449"/>
      <c r="DVC8" s="460"/>
      <c r="DVD8" s="460"/>
      <c r="DVE8" s="460"/>
      <c r="DVF8" s="460"/>
      <c r="DVG8" s="460"/>
      <c r="DVH8" s="460"/>
      <c r="DVI8" s="450"/>
      <c r="DVJ8" s="1857"/>
      <c r="DVK8" s="1857"/>
      <c r="DVL8" s="1857"/>
      <c r="DVM8" s="1857"/>
      <c r="DVN8" s="1857"/>
      <c r="DVO8" s="1857"/>
      <c r="DVP8" s="1857"/>
      <c r="DVQ8" s="1857"/>
      <c r="DVR8" s="1857"/>
      <c r="DVS8" s="1857"/>
      <c r="DVT8" s="1857"/>
      <c r="DVU8" s="1857"/>
      <c r="DVV8" s="1857"/>
      <c r="DVW8" s="454"/>
      <c r="DVX8" s="1858"/>
      <c r="DVY8" s="449"/>
      <c r="DVZ8" s="449"/>
      <c r="DWA8" s="449"/>
      <c r="DWB8" s="460"/>
      <c r="DWC8" s="460"/>
      <c r="DWD8" s="460"/>
      <c r="DWE8" s="460"/>
      <c r="DWF8" s="460"/>
      <c r="DWG8" s="460"/>
      <c r="DWH8" s="450"/>
      <c r="DWI8" s="1857"/>
      <c r="DWJ8" s="1857"/>
      <c r="DWK8" s="1857"/>
      <c r="DWL8" s="1857"/>
      <c r="DWM8" s="1857"/>
      <c r="DWN8" s="1857"/>
      <c r="DWO8" s="1857"/>
      <c r="DWP8" s="1857"/>
      <c r="DWQ8" s="1857"/>
      <c r="DWR8" s="1857"/>
      <c r="DWS8" s="1857"/>
      <c r="DWT8" s="1857"/>
      <c r="DWU8" s="1857"/>
      <c r="DWV8" s="454"/>
      <c r="DWW8" s="1858"/>
      <c r="DWX8" s="449"/>
      <c r="DWY8" s="449"/>
      <c r="DWZ8" s="449"/>
      <c r="DXA8" s="460"/>
      <c r="DXB8" s="460"/>
      <c r="DXC8" s="460"/>
      <c r="DXD8" s="460"/>
      <c r="DXE8" s="460"/>
      <c r="DXF8" s="460"/>
      <c r="DXG8" s="450"/>
      <c r="DXH8" s="1857"/>
      <c r="DXI8" s="1857"/>
      <c r="DXJ8" s="1857"/>
      <c r="DXK8" s="1857"/>
      <c r="DXL8" s="1857"/>
      <c r="DXM8" s="1857"/>
      <c r="DXN8" s="1857"/>
      <c r="DXO8" s="1857"/>
      <c r="DXP8" s="1857"/>
      <c r="DXQ8" s="1857"/>
      <c r="DXR8" s="1857"/>
      <c r="DXS8" s="1857"/>
      <c r="DXT8" s="1857"/>
      <c r="DXU8" s="454"/>
      <c r="DXV8" s="1858"/>
      <c r="DXW8" s="449"/>
      <c r="DXX8" s="449"/>
      <c r="DXY8" s="449"/>
      <c r="DXZ8" s="460"/>
      <c r="DYA8" s="460"/>
      <c r="DYB8" s="460"/>
      <c r="DYC8" s="460"/>
      <c r="DYD8" s="460"/>
      <c r="DYE8" s="460"/>
      <c r="DYF8" s="450"/>
      <c r="DYG8" s="1857"/>
      <c r="DYH8" s="1857"/>
      <c r="DYI8" s="1857"/>
      <c r="DYJ8" s="1857"/>
      <c r="DYK8" s="1857"/>
      <c r="DYL8" s="1857"/>
      <c r="DYM8" s="1857"/>
      <c r="DYN8" s="1857"/>
      <c r="DYO8" s="1857"/>
      <c r="DYP8" s="1857"/>
      <c r="DYQ8" s="1857"/>
      <c r="DYR8" s="1857"/>
      <c r="DYS8" s="1857"/>
      <c r="DYT8" s="454"/>
      <c r="DYU8" s="1858"/>
      <c r="DYV8" s="449"/>
      <c r="DYW8" s="449"/>
      <c r="DYX8" s="449"/>
      <c r="DYY8" s="460"/>
      <c r="DYZ8" s="460"/>
      <c r="DZA8" s="460"/>
      <c r="DZB8" s="460"/>
      <c r="DZC8" s="460"/>
      <c r="DZD8" s="460"/>
      <c r="DZE8" s="450"/>
      <c r="DZF8" s="1857"/>
      <c r="DZG8" s="1857"/>
      <c r="DZH8" s="1857"/>
      <c r="DZI8" s="1857"/>
      <c r="DZJ8" s="1857"/>
      <c r="DZK8" s="1857"/>
      <c r="DZL8" s="1857"/>
      <c r="DZM8" s="1857"/>
      <c r="DZN8" s="1857"/>
      <c r="DZO8" s="1857"/>
      <c r="DZP8" s="1857"/>
      <c r="DZQ8" s="1857"/>
      <c r="DZR8" s="1857"/>
      <c r="DZS8" s="454"/>
      <c r="DZT8" s="1858"/>
      <c r="DZU8" s="449"/>
      <c r="DZV8" s="449"/>
      <c r="DZW8" s="449"/>
      <c r="DZX8" s="460"/>
      <c r="DZY8" s="460"/>
      <c r="DZZ8" s="460"/>
      <c r="EAA8" s="460"/>
      <c r="EAB8" s="460"/>
      <c r="EAC8" s="460"/>
      <c r="EAD8" s="450"/>
      <c r="EAE8" s="1857"/>
      <c r="EAF8" s="1857"/>
      <c r="EAG8" s="1857"/>
      <c r="EAH8" s="1857"/>
      <c r="EAI8" s="1857"/>
      <c r="EAJ8" s="1857"/>
      <c r="EAK8" s="1857"/>
      <c r="EAL8" s="1857"/>
      <c r="EAM8" s="1857"/>
      <c r="EAN8" s="1857"/>
      <c r="EAO8" s="1857"/>
      <c r="EAP8" s="1857"/>
      <c r="EAQ8" s="1857"/>
      <c r="EAR8" s="454"/>
      <c r="EAS8" s="1858"/>
      <c r="EAT8" s="449"/>
      <c r="EAU8" s="449"/>
      <c r="EAV8" s="449"/>
      <c r="EAW8" s="460"/>
      <c r="EAX8" s="460"/>
      <c r="EAY8" s="460"/>
      <c r="EAZ8" s="460"/>
      <c r="EBA8" s="460"/>
      <c r="EBB8" s="460"/>
      <c r="EBC8" s="450"/>
      <c r="EBD8" s="1857"/>
      <c r="EBE8" s="1857"/>
      <c r="EBF8" s="1857"/>
      <c r="EBG8" s="1857"/>
      <c r="EBH8" s="1857"/>
      <c r="EBI8" s="1857"/>
      <c r="EBJ8" s="1857"/>
      <c r="EBK8" s="1857"/>
      <c r="EBL8" s="1857"/>
      <c r="EBM8" s="1857"/>
      <c r="EBN8" s="1857"/>
      <c r="EBO8" s="1857"/>
      <c r="EBP8" s="1857"/>
      <c r="EBQ8" s="454"/>
      <c r="EBR8" s="1858"/>
      <c r="EBS8" s="449"/>
      <c r="EBT8" s="449"/>
      <c r="EBU8" s="449"/>
      <c r="EBV8" s="460"/>
      <c r="EBW8" s="460"/>
      <c r="EBX8" s="460"/>
      <c r="EBY8" s="460"/>
      <c r="EBZ8" s="460"/>
      <c r="ECA8" s="460"/>
      <c r="ECB8" s="450"/>
      <c r="ECC8" s="1857"/>
      <c r="ECD8" s="1857"/>
      <c r="ECE8" s="1857"/>
      <c r="ECF8" s="1857"/>
      <c r="ECG8" s="1857"/>
      <c r="ECH8" s="1857"/>
      <c r="ECI8" s="1857"/>
      <c r="ECJ8" s="1857"/>
      <c r="ECK8" s="1857"/>
      <c r="ECL8" s="1857"/>
      <c r="ECM8" s="1857"/>
      <c r="ECN8" s="1857"/>
      <c r="ECO8" s="1857"/>
      <c r="ECP8" s="454"/>
      <c r="ECQ8" s="1858"/>
      <c r="ECR8" s="449"/>
      <c r="ECS8" s="449"/>
      <c r="ECT8" s="449"/>
      <c r="ECU8" s="460"/>
      <c r="ECV8" s="460"/>
      <c r="ECW8" s="460"/>
      <c r="ECX8" s="460"/>
      <c r="ECY8" s="460"/>
      <c r="ECZ8" s="460"/>
      <c r="EDA8" s="450"/>
      <c r="EDB8" s="1857"/>
      <c r="EDC8" s="1857"/>
      <c r="EDD8" s="1857"/>
      <c r="EDE8" s="1857"/>
      <c r="EDF8" s="1857"/>
      <c r="EDG8" s="1857"/>
      <c r="EDH8" s="1857"/>
      <c r="EDI8" s="1857"/>
      <c r="EDJ8" s="1857"/>
      <c r="EDK8" s="1857"/>
      <c r="EDL8" s="1857"/>
      <c r="EDM8" s="1857"/>
      <c r="EDN8" s="1857"/>
      <c r="EDO8" s="454"/>
      <c r="EDP8" s="1858"/>
      <c r="EDQ8" s="449"/>
      <c r="EDR8" s="449"/>
      <c r="EDS8" s="449"/>
      <c r="EDT8" s="460"/>
      <c r="EDU8" s="460"/>
      <c r="EDV8" s="460"/>
      <c r="EDW8" s="460"/>
      <c r="EDX8" s="460"/>
      <c r="EDY8" s="460"/>
      <c r="EDZ8" s="450"/>
      <c r="EEA8" s="1857"/>
      <c r="EEB8" s="1857"/>
      <c r="EEC8" s="1857"/>
      <c r="EED8" s="1857"/>
      <c r="EEE8" s="1857"/>
      <c r="EEF8" s="1857"/>
      <c r="EEG8" s="1857"/>
      <c r="EEH8" s="1857"/>
      <c r="EEI8" s="1857"/>
      <c r="EEJ8" s="1857"/>
      <c r="EEK8" s="1857"/>
      <c r="EEL8" s="1857"/>
      <c r="EEM8" s="1857"/>
      <c r="EEN8" s="454"/>
      <c r="EEO8" s="1858"/>
      <c r="EEP8" s="449"/>
      <c r="EEQ8" s="449"/>
      <c r="EER8" s="449"/>
      <c r="EES8" s="460"/>
      <c r="EET8" s="460"/>
      <c r="EEU8" s="460"/>
      <c r="EEV8" s="460"/>
      <c r="EEW8" s="460"/>
      <c r="EEX8" s="460"/>
      <c r="EEY8" s="450"/>
      <c r="EEZ8" s="1857"/>
      <c r="EFA8" s="1857"/>
      <c r="EFB8" s="1857"/>
      <c r="EFC8" s="1857"/>
      <c r="EFD8" s="1857"/>
      <c r="EFE8" s="1857"/>
      <c r="EFF8" s="1857"/>
      <c r="EFG8" s="1857"/>
      <c r="EFH8" s="1857"/>
      <c r="EFI8" s="1857"/>
      <c r="EFJ8" s="1857"/>
      <c r="EFK8" s="1857"/>
      <c r="EFL8" s="1857"/>
      <c r="EFM8" s="454"/>
      <c r="EFN8" s="1858"/>
      <c r="EFO8" s="449"/>
      <c r="EFP8" s="449"/>
      <c r="EFQ8" s="449"/>
      <c r="EFR8" s="460"/>
      <c r="EFS8" s="460"/>
      <c r="EFT8" s="460"/>
      <c r="EFU8" s="460"/>
      <c r="EFV8" s="460"/>
      <c r="EFW8" s="460"/>
      <c r="EFX8" s="450"/>
      <c r="EFY8" s="1857"/>
      <c r="EFZ8" s="1857"/>
      <c r="EGA8" s="1857"/>
      <c r="EGB8" s="1857"/>
      <c r="EGC8" s="1857"/>
      <c r="EGD8" s="1857"/>
      <c r="EGE8" s="1857"/>
      <c r="EGF8" s="1857"/>
      <c r="EGG8" s="1857"/>
      <c r="EGH8" s="1857"/>
      <c r="EGI8" s="1857"/>
      <c r="EGJ8" s="1857"/>
      <c r="EGK8" s="1857"/>
      <c r="EGL8" s="454"/>
      <c r="EGM8" s="1858"/>
      <c r="EGN8" s="449"/>
      <c r="EGO8" s="449"/>
      <c r="EGP8" s="449"/>
      <c r="EGQ8" s="460"/>
      <c r="EGR8" s="460"/>
      <c r="EGS8" s="460"/>
      <c r="EGT8" s="460"/>
      <c r="EGU8" s="460"/>
      <c r="EGV8" s="460"/>
      <c r="EGW8" s="450"/>
      <c r="EGX8" s="1857"/>
      <c r="EGY8" s="1857"/>
      <c r="EGZ8" s="1857"/>
      <c r="EHA8" s="1857"/>
      <c r="EHB8" s="1857"/>
      <c r="EHC8" s="1857"/>
      <c r="EHD8" s="1857"/>
      <c r="EHE8" s="1857"/>
      <c r="EHF8" s="1857"/>
      <c r="EHG8" s="1857"/>
      <c r="EHH8" s="1857"/>
      <c r="EHI8" s="1857"/>
      <c r="EHJ8" s="1857"/>
      <c r="EHK8" s="454"/>
      <c r="EHL8" s="1858"/>
      <c r="EHM8" s="449"/>
      <c r="EHN8" s="449"/>
      <c r="EHO8" s="449"/>
      <c r="EHP8" s="460"/>
      <c r="EHQ8" s="460"/>
      <c r="EHR8" s="460"/>
      <c r="EHS8" s="460"/>
      <c r="EHT8" s="460"/>
      <c r="EHU8" s="460"/>
      <c r="EHV8" s="450"/>
      <c r="EHW8" s="1857"/>
      <c r="EHX8" s="1857"/>
      <c r="EHY8" s="1857"/>
      <c r="EHZ8" s="1857"/>
      <c r="EIA8" s="1857"/>
      <c r="EIB8" s="1857"/>
      <c r="EIC8" s="1857"/>
      <c r="EID8" s="1857"/>
      <c r="EIE8" s="1857"/>
      <c r="EIF8" s="1857"/>
      <c r="EIG8" s="1857"/>
      <c r="EIH8" s="1857"/>
      <c r="EII8" s="1857"/>
      <c r="EIJ8" s="454"/>
      <c r="EIK8" s="1858"/>
      <c r="EIL8" s="449"/>
      <c r="EIM8" s="449"/>
      <c r="EIN8" s="449"/>
      <c r="EIO8" s="460"/>
      <c r="EIP8" s="460"/>
      <c r="EIQ8" s="460"/>
      <c r="EIR8" s="460"/>
      <c r="EIS8" s="460"/>
      <c r="EIT8" s="460"/>
      <c r="EIU8" s="450"/>
      <c r="EIV8" s="1857"/>
      <c r="EIW8" s="1857"/>
      <c r="EIX8" s="1857"/>
      <c r="EIY8" s="1857"/>
      <c r="EIZ8" s="1857"/>
      <c r="EJA8" s="1857"/>
      <c r="EJB8" s="1857"/>
      <c r="EJC8" s="1857"/>
      <c r="EJD8" s="1857"/>
      <c r="EJE8" s="1857"/>
      <c r="EJF8" s="1857"/>
      <c r="EJG8" s="1857"/>
      <c r="EJH8" s="1857"/>
      <c r="EJI8" s="454"/>
      <c r="EJJ8" s="1858"/>
      <c r="EJK8" s="449"/>
      <c r="EJL8" s="449"/>
      <c r="EJM8" s="449"/>
      <c r="EJN8" s="460"/>
      <c r="EJO8" s="460"/>
      <c r="EJP8" s="460"/>
      <c r="EJQ8" s="460"/>
      <c r="EJR8" s="460"/>
      <c r="EJS8" s="460"/>
      <c r="EJT8" s="450"/>
      <c r="EJU8" s="1857"/>
      <c r="EJV8" s="1857"/>
      <c r="EJW8" s="1857"/>
      <c r="EJX8" s="1857"/>
      <c r="EJY8" s="1857"/>
      <c r="EJZ8" s="1857"/>
      <c r="EKA8" s="1857"/>
      <c r="EKB8" s="1857"/>
      <c r="EKC8" s="1857"/>
      <c r="EKD8" s="1857"/>
      <c r="EKE8" s="1857"/>
      <c r="EKF8" s="1857"/>
      <c r="EKG8" s="1857"/>
      <c r="EKH8" s="454"/>
      <c r="EKI8" s="1858"/>
      <c r="EKJ8" s="449"/>
      <c r="EKK8" s="449"/>
      <c r="EKL8" s="449"/>
      <c r="EKM8" s="460"/>
      <c r="EKN8" s="460"/>
      <c r="EKO8" s="460"/>
      <c r="EKP8" s="460"/>
      <c r="EKQ8" s="460"/>
      <c r="EKR8" s="460"/>
      <c r="EKS8" s="450"/>
      <c r="EKT8" s="1857"/>
      <c r="EKU8" s="1857"/>
      <c r="EKV8" s="1857"/>
      <c r="EKW8" s="1857"/>
      <c r="EKX8" s="1857"/>
      <c r="EKY8" s="1857"/>
      <c r="EKZ8" s="1857"/>
      <c r="ELA8" s="1857"/>
      <c r="ELB8" s="1857"/>
      <c r="ELC8" s="1857"/>
      <c r="ELD8" s="1857"/>
      <c r="ELE8" s="1857"/>
      <c r="ELF8" s="1857"/>
      <c r="ELG8" s="454"/>
      <c r="ELH8" s="1858"/>
      <c r="ELI8" s="449"/>
      <c r="ELJ8" s="449"/>
      <c r="ELK8" s="449"/>
      <c r="ELL8" s="460"/>
      <c r="ELM8" s="460"/>
      <c r="ELN8" s="460"/>
      <c r="ELO8" s="460"/>
      <c r="ELP8" s="460"/>
      <c r="ELQ8" s="460"/>
      <c r="ELR8" s="450"/>
      <c r="ELS8" s="1857"/>
      <c r="ELT8" s="1857"/>
      <c r="ELU8" s="1857"/>
      <c r="ELV8" s="1857"/>
      <c r="ELW8" s="1857"/>
      <c r="ELX8" s="1857"/>
      <c r="ELY8" s="1857"/>
      <c r="ELZ8" s="1857"/>
      <c r="EMA8" s="1857"/>
      <c r="EMB8" s="1857"/>
      <c r="EMC8" s="1857"/>
      <c r="EMD8" s="1857"/>
      <c r="EME8" s="1857"/>
      <c r="EMF8" s="454"/>
      <c r="EMG8" s="1858"/>
      <c r="EMH8" s="449"/>
      <c r="EMI8" s="449"/>
      <c r="EMJ8" s="449"/>
      <c r="EMK8" s="460"/>
      <c r="EML8" s="460"/>
      <c r="EMM8" s="460"/>
      <c r="EMN8" s="460"/>
      <c r="EMO8" s="460"/>
      <c r="EMP8" s="460"/>
      <c r="EMQ8" s="450"/>
      <c r="EMR8" s="1857"/>
      <c r="EMS8" s="1857"/>
      <c r="EMT8" s="1857"/>
      <c r="EMU8" s="1857"/>
      <c r="EMV8" s="1857"/>
      <c r="EMW8" s="1857"/>
      <c r="EMX8" s="1857"/>
      <c r="EMY8" s="1857"/>
      <c r="EMZ8" s="1857"/>
      <c r="ENA8" s="1857"/>
      <c r="ENB8" s="1857"/>
      <c r="ENC8" s="1857"/>
      <c r="END8" s="1857"/>
      <c r="ENE8" s="454"/>
      <c r="ENF8" s="1858"/>
      <c r="ENG8" s="449"/>
      <c r="ENH8" s="449"/>
      <c r="ENI8" s="449"/>
      <c r="ENJ8" s="460"/>
      <c r="ENK8" s="460"/>
      <c r="ENL8" s="460"/>
      <c r="ENM8" s="460"/>
      <c r="ENN8" s="460"/>
      <c r="ENO8" s="460"/>
      <c r="ENP8" s="450"/>
      <c r="ENQ8" s="1857"/>
      <c r="ENR8" s="1857"/>
      <c r="ENS8" s="1857"/>
      <c r="ENT8" s="1857"/>
      <c r="ENU8" s="1857"/>
      <c r="ENV8" s="1857"/>
      <c r="ENW8" s="1857"/>
      <c r="ENX8" s="1857"/>
      <c r="ENY8" s="1857"/>
      <c r="ENZ8" s="1857"/>
      <c r="EOA8" s="1857"/>
      <c r="EOB8" s="1857"/>
      <c r="EOC8" s="1857"/>
      <c r="EOD8" s="454"/>
      <c r="EOE8" s="1858"/>
      <c r="EOF8" s="449"/>
      <c r="EOG8" s="449"/>
      <c r="EOH8" s="449"/>
      <c r="EOI8" s="460"/>
      <c r="EOJ8" s="460"/>
      <c r="EOK8" s="460"/>
      <c r="EOL8" s="460"/>
      <c r="EOM8" s="460"/>
      <c r="EON8" s="460"/>
      <c r="EOO8" s="450"/>
      <c r="EOP8" s="1857"/>
      <c r="EOQ8" s="1857"/>
      <c r="EOR8" s="1857"/>
      <c r="EOS8" s="1857"/>
      <c r="EOT8" s="1857"/>
      <c r="EOU8" s="1857"/>
      <c r="EOV8" s="1857"/>
      <c r="EOW8" s="1857"/>
      <c r="EOX8" s="1857"/>
      <c r="EOY8" s="1857"/>
      <c r="EOZ8" s="1857"/>
      <c r="EPA8" s="1857"/>
      <c r="EPB8" s="1857"/>
      <c r="EPC8" s="454"/>
      <c r="EPD8" s="1858"/>
      <c r="EPE8" s="449"/>
      <c r="EPF8" s="449"/>
      <c r="EPG8" s="449"/>
      <c r="EPH8" s="460"/>
      <c r="EPI8" s="460"/>
      <c r="EPJ8" s="460"/>
      <c r="EPK8" s="460"/>
      <c r="EPL8" s="460"/>
      <c r="EPM8" s="460"/>
      <c r="EPN8" s="450"/>
      <c r="EPO8" s="1857"/>
      <c r="EPP8" s="1857"/>
      <c r="EPQ8" s="1857"/>
      <c r="EPR8" s="1857"/>
      <c r="EPS8" s="1857"/>
      <c r="EPT8" s="1857"/>
      <c r="EPU8" s="1857"/>
      <c r="EPV8" s="1857"/>
      <c r="EPW8" s="1857"/>
      <c r="EPX8" s="1857"/>
      <c r="EPY8" s="1857"/>
      <c r="EPZ8" s="1857"/>
      <c r="EQA8" s="1857"/>
      <c r="EQB8" s="454"/>
      <c r="EQC8" s="1858"/>
      <c r="EQD8" s="449"/>
      <c r="EQE8" s="449"/>
      <c r="EQF8" s="449"/>
      <c r="EQG8" s="460"/>
      <c r="EQH8" s="460"/>
      <c r="EQI8" s="460"/>
      <c r="EQJ8" s="460"/>
      <c r="EQK8" s="460"/>
      <c r="EQL8" s="460"/>
      <c r="EQM8" s="450"/>
      <c r="EQN8" s="1857"/>
      <c r="EQO8" s="1857"/>
      <c r="EQP8" s="1857"/>
      <c r="EQQ8" s="1857"/>
      <c r="EQR8" s="1857"/>
      <c r="EQS8" s="1857"/>
      <c r="EQT8" s="1857"/>
      <c r="EQU8" s="1857"/>
      <c r="EQV8" s="1857"/>
      <c r="EQW8" s="1857"/>
      <c r="EQX8" s="1857"/>
      <c r="EQY8" s="1857"/>
      <c r="EQZ8" s="1857"/>
      <c r="ERA8" s="454"/>
      <c r="ERB8" s="1858"/>
      <c r="ERC8" s="449"/>
      <c r="ERD8" s="449"/>
      <c r="ERE8" s="449"/>
      <c r="ERF8" s="460"/>
      <c r="ERG8" s="460"/>
      <c r="ERH8" s="460"/>
      <c r="ERI8" s="460"/>
      <c r="ERJ8" s="460"/>
      <c r="ERK8" s="460"/>
      <c r="ERL8" s="450"/>
      <c r="ERM8" s="1857"/>
      <c r="ERN8" s="1857"/>
      <c r="ERO8" s="1857"/>
      <c r="ERP8" s="1857"/>
      <c r="ERQ8" s="1857"/>
      <c r="ERR8" s="1857"/>
      <c r="ERS8" s="1857"/>
      <c r="ERT8" s="1857"/>
      <c r="ERU8" s="1857"/>
      <c r="ERV8" s="1857"/>
      <c r="ERW8" s="1857"/>
      <c r="ERX8" s="1857"/>
      <c r="ERY8" s="1857"/>
      <c r="ERZ8" s="454"/>
      <c r="ESA8" s="1858"/>
      <c r="ESB8" s="449"/>
      <c r="ESC8" s="449"/>
      <c r="ESD8" s="449"/>
      <c r="ESE8" s="460"/>
      <c r="ESF8" s="460"/>
      <c r="ESG8" s="460"/>
      <c r="ESH8" s="460"/>
      <c r="ESI8" s="460"/>
      <c r="ESJ8" s="460"/>
      <c r="ESK8" s="450"/>
      <c r="ESL8" s="1857"/>
      <c r="ESM8" s="1857"/>
      <c r="ESN8" s="1857"/>
      <c r="ESO8" s="1857"/>
      <c r="ESP8" s="1857"/>
      <c r="ESQ8" s="1857"/>
      <c r="ESR8" s="1857"/>
      <c r="ESS8" s="1857"/>
      <c r="EST8" s="1857"/>
      <c r="ESU8" s="1857"/>
      <c r="ESV8" s="1857"/>
      <c r="ESW8" s="1857"/>
      <c r="ESX8" s="1857"/>
      <c r="ESY8" s="454"/>
      <c r="ESZ8" s="1858"/>
      <c r="ETA8" s="449"/>
      <c r="ETB8" s="449"/>
      <c r="ETC8" s="449"/>
      <c r="ETD8" s="460"/>
      <c r="ETE8" s="460"/>
      <c r="ETF8" s="460"/>
      <c r="ETG8" s="460"/>
      <c r="ETH8" s="460"/>
      <c r="ETI8" s="460"/>
      <c r="ETJ8" s="450"/>
      <c r="ETK8" s="1857"/>
      <c r="ETL8" s="1857"/>
      <c r="ETM8" s="1857"/>
      <c r="ETN8" s="1857"/>
      <c r="ETO8" s="1857"/>
      <c r="ETP8" s="1857"/>
      <c r="ETQ8" s="1857"/>
      <c r="ETR8" s="1857"/>
      <c r="ETS8" s="1857"/>
      <c r="ETT8" s="1857"/>
      <c r="ETU8" s="1857"/>
      <c r="ETV8" s="1857"/>
      <c r="ETW8" s="1857"/>
      <c r="ETX8" s="454"/>
      <c r="ETY8" s="1858"/>
      <c r="ETZ8" s="449"/>
      <c r="EUA8" s="449"/>
      <c r="EUB8" s="449"/>
      <c r="EUC8" s="460"/>
      <c r="EUD8" s="460"/>
      <c r="EUE8" s="460"/>
      <c r="EUF8" s="460"/>
      <c r="EUG8" s="460"/>
      <c r="EUH8" s="460"/>
      <c r="EUI8" s="450"/>
      <c r="EUJ8" s="1857"/>
      <c r="EUK8" s="1857"/>
      <c r="EUL8" s="1857"/>
      <c r="EUM8" s="1857"/>
      <c r="EUN8" s="1857"/>
      <c r="EUO8" s="1857"/>
      <c r="EUP8" s="1857"/>
      <c r="EUQ8" s="1857"/>
      <c r="EUR8" s="1857"/>
      <c r="EUS8" s="1857"/>
      <c r="EUT8" s="1857"/>
      <c r="EUU8" s="1857"/>
      <c r="EUV8" s="1857"/>
      <c r="EUW8" s="454"/>
      <c r="EUX8" s="1858"/>
      <c r="EUY8" s="449"/>
      <c r="EUZ8" s="449"/>
      <c r="EVA8" s="449"/>
      <c r="EVB8" s="460"/>
      <c r="EVC8" s="460"/>
      <c r="EVD8" s="460"/>
      <c r="EVE8" s="460"/>
      <c r="EVF8" s="460"/>
      <c r="EVG8" s="460"/>
      <c r="EVH8" s="450"/>
      <c r="EVI8" s="1857"/>
      <c r="EVJ8" s="1857"/>
      <c r="EVK8" s="1857"/>
      <c r="EVL8" s="1857"/>
      <c r="EVM8" s="1857"/>
      <c r="EVN8" s="1857"/>
      <c r="EVO8" s="1857"/>
      <c r="EVP8" s="1857"/>
      <c r="EVQ8" s="1857"/>
      <c r="EVR8" s="1857"/>
      <c r="EVS8" s="1857"/>
      <c r="EVT8" s="1857"/>
      <c r="EVU8" s="1857"/>
      <c r="EVV8" s="454"/>
      <c r="EVW8" s="1858"/>
      <c r="EVX8" s="449"/>
      <c r="EVY8" s="449"/>
      <c r="EVZ8" s="449"/>
      <c r="EWA8" s="460"/>
      <c r="EWB8" s="460"/>
      <c r="EWC8" s="460"/>
      <c r="EWD8" s="460"/>
      <c r="EWE8" s="460"/>
      <c r="EWF8" s="460"/>
      <c r="EWG8" s="450"/>
      <c r="EWH8" s="1857"/>
      <c r="EWI8" s="1857"/>
      <c r="EWJ8" s="1857"/>
      <c r="EWK8" s="1857"/>
      <c r="EWL8" s="1857"/>
      <c r="EWM8" s="1857"/>
      <c r="EWN8" s="1857"/>
      <c r="EWO8" s="1857"/>
      <c r="EWP8" s="1857"/>
      <c r="EWQ8" s="1857"/>
      <c r="EWR8" s="1857"/>
      <c r="EWS8" s="1857"/>
      <c r="EWT8" s="1857"/>
      <c r="EWU8" s="454"/>
      <c r="EWV8" s="1858"/>
      <c r="EWW8" s="449"/>
      <c r="EWX8" s="449"/>
      <c r="EWY8" s="449"/>
      <c r="EWZ8" s="460"/>
      <c r="EXA8" s="460"/>
      <c r="EXB8" s="460"/>
      <c r="EXC8" s="460"/>
      <c r="EXD8" s="460"/>
      <c r="EXE8" s="460"/>
      <c r="EXF8" s="450"/>
      <c r="EXG8" s="1857"/>
      <c r="EXH8" s="1857"/>
      <c r="EXI8" s="1857"/>
      <c r="EXJ8" s="1857"/>
      <c r="EXK8" s="1857"/>
      <c r="EXL8" s="1857"/>
      <c r="EXM8" s="1857"/>
      <c r="EXN8" s="1857"/>
      <c r="EXO8" s="1857"/>
      <c r="EXP8" s="1857"/>
      <c r="EXQ8" s="1857"/>
      <c r="EXR8" s="1857"/>
      <c r="EXS8" s="1857"/>
      <c r="EXT8" s="454"/>
      <c r="EXU8" s="1858"/>
      <c r="EXV8" s="449"/>
      <c r="EXW8" s="449"/>
      <c r="EXX8" s="449"/>
      <c r="EXY8" s="460"/>
      <c r="EXZ8" s="460"/>
      <c r="EYA8" s="460"/>
      <c r="EYB8" s="460"/>
      <c r="EYC8" s="460"/>
      <c r="EYD8" s="460"/>
      <c r="EYE8" s="450"/>
      <c r="EYF8" s="1857"/>
      <c r="EYG8" s="1857"/>
      <c r="EYH8" s="1857"/>
      <c r="EYI8" s="1857"/>
      <c r="EYJ8" s="1857"/>
      <c r="EYK8" s="1857"/>
      <c r="EYL8" s="1857"/>
      <c r="EYM8" s="1857"/>
      <c r="EYN8" s="1857"/>
      <c r="EYO8" s="1857"/>
      <c r="EYP8" s="1857"/>
      <c r="EYQ8" s="1857"/>
      <c r="EYR8" s="1857"/>
      <c r="EYS8" s="454"/>
      <c r="EYT8" s="1858"/>
      <c r="EYU8" s="449"/>
      <c r="EYV8" s="449"/>
      <c r="EYW8" s="449"/>
      <c r="EYX8" s="460"/>
      <c r="EYY8" s="460"/>
      <c r="EYZ8" s="460"/>
      <c r="EZA8" s="460"/>
      <c r="EZB8" s="460"/>
      <c r="EZC8" s="460"/>
      <c r="EZD8" s="450"/>
      <c r="EZE8" s="1857"/>
      <c r="EZF8" s="1857"/>
      <c r="EZG8" s="1857"/>
      <c r="EZH8" s="1857"/>
      <c r="EZI8" s="1857"/>
      <c r="EZJ8" s="1857"/>
      <c r="EZK8" s="1857"/>
      <c r="EZL8" s="1857"/>
      <c r="EZM8" s="1857"/>
      <c r="EZN8" s="1857"/>
      <c r="EZO8" s="1857"/>
      <c r="EZP8" s="1857"/>
      <c r="EZQ8" s="1857"/>
      <c r="EZR8" s="454"/>
      <c r="EZS8" s="1858"/>
      <c r="EZT8" s="449"/>
      <c r="EZU8" s="449"/>
      <c r="EZV8" s="449"/>
      <c r="EZW8" s="460"/>
      <c r="EZX8" s="460"/>
      <c r="EZY8" s="460"/>
      <c r="EZZ8" s="460"/>
      <c r="FAA8" s="460"/>
      <c r="FAB8" s="460"/>
      <c r="FAC8" s="450"/>
      <c r="FAD8" s="1857"/>
      <c r="FAE8" s="1857"/>
      <c r="FAF8" s="1857"/>
      <c r="FAG8" s="1857"/>
      <c r="FAH8" s="1857"/>
      <c r="FAI8" s="1857"/>
      <c r="FAJ8" s="1857"/>
      <c r="FAK8" s="1857"/>
      <c r="FAL8" s="1857"/>
      <c r="FAM8" s="1857"/>
      <c r="FAN8" s="1857"/>
      <c r="FAO8" s="1857"/>
      <c r="FAP8" s="1857"/>
      <c r="FAQ8" s="454"/>
      <c r="FAR8" s="1858"/>
      <c r="FAS8" s="449"/>
      <c r="FAT8" s="449"/>
      <c r="FAU8" s="449"/>
      <c r="FAV8" s="460"/>
      <c r="FAW8" s="460"/>
      <c r="FAX8" s="460"/>
      <c r="FAY8" s="460"/>
      <c r="FAZ8" s="460"/>
      <c r="FBA8" s="460"/>
      <c r="FBB8" s="450"/>
      <c r="FBC8" s="1857"/>
      <c r="FBD8" s="1857"/>
      <c r="FBE8" s="1857"/>
      <c r="FBF8" s="1857"/>
      <c r="FBG8" s="1857"/>
      <c r="FBH8" s="1857"/>
      <c r="FBI8" s="1857"/>
      <c r="FBJ8" s="1857"/>
      <c r="FBK8" s="1857"/>
      <c r="FBL8" s="1857"/>
      <c r="FBM8" s="1857"/>
      <c r="FBN8" s="1857"/>
      <c r="FBO8" s="1857"/>
      <c r="FBP8" s="454"/>
      <c r="FBQ8" s="1858"/>
      <c r="FBR8" s="449"/>
      <c r="FBS8" s="449"/>
      <c r="FBT8" s="449"/>
      <c r="FBU8" s="460"/>
      <c r="FBV8" s="460"/>
      <c r="FBW8" s="460"/>
      <c r="FBX8" s="460"/>
      <c r="FBY8" s="460"/>
      <c r="FBZ8" s="460"/>
      <c r="FCA8" s="450"/>
      <c r="FCB8" s="1857"/>
      <c r="FCC8" s="1857"/>
      <c r="FCD8" s="1857"/>
      <c r="FCE8" s="1857"/>
      <c r="FCF8" s="1857"/>
      <c r="FCG8" s="1857"/>
      <c r="FCH8" s="1857"/>
      <c r="FCI8" s="1857"/>
      <c r="FCJ8" s="1857"/>
      <c r="FCK8" s="1857"/>
      <c r="FCL8" s="1857"/>
      <c r="FCM8" s="1857"/>
      <c r="FCN8" s="1857"/>
      <c r="FCO8" s="454"/>
      <c r="FCP8" s="1858"/>
      <c r="FCQ8" s="449"/>
      <c r="FCR8" s="449"/>
      <c r="FCS8" s="449"/>
      <c r="FCT8" s="460"/>
      <c r="FCU8" s="460"/>
      <c r="FCV8" s="460"/>
      <c r="FCW8" s="460"/>
      <c r="FCX8" s="460"/>
      <c r="FCY8" s="460"/>
      <c r="FCZ8" s="450"/>
      <c r="FDA8" s="1857"/>
      <c r="FDB8" s="1857"/>
      <c r="FDC8" s="1857"/>
      <c r="FDD8" s="1857"/>
      <c r="FDE8" s="1857"/>
      <c r="FDF8" s="1857"/>
      <c r="FDG8" s="1857"/>
      <c r="FDH8" s="1857"/>
      <c r="FDI8" s="1857"/>
      <c r="FDJ8" s="1857"/>
      <c r="FDK8" s="1857"/>
      <c r="FDL8" s="1857"/>
      <c r="FDM8" s="1857"/>
      <c r="FDN8" s="454"/>
      <c r="FDO8" s="1858"/>
      <c r="FDP8" s="449"/>
      <c r="FDQ8" s="449"/>
      <c r="FDR8" s="449"/>
      <c r="FDS8" s="460"/>
      <c r="FDT8" s="460"/>
      <c r="FDU8" s="460"/>
      <c r="FDV8" s="460"/>
      <c r="FDW8" s="460"/>
      <c r="FDX8" s="460"/>
      <c r="FDY8" s="450"/>
      <c r="FDZ8" s="1857"/>
      <c r="FEA8" s="1857"/>
      <c r="FEB8" s="1857"/>
      <c r="FEC8" s="1857"/>
      <c r="FED8" s="1857"/>
      <c r="FEE8" s="1857"/>
      <c r="FEF8" s="1857"/>
      <c r="FEG8" s="1857"/>
      <c r="FEH8" s="1857"/>
      <c r="FEI8" s="1857"/>
      <c r="FEJ8" s="1857"/>
      <c r="FEK8" s="1857"/>
      <c r="FEL8" s="1857"/>
      <c r="FEM8" s="454"/>
      <c r="FEN8" s="1858"/>
      <c r="FEO8" s="449"/>
      <c r="FEP8" s="449"/>
      <c r="FEQ8" s="449"/>
      <c r="FER8" s="460"/>
      <c r="FES8" s="460"/>
      <c r="FET8" s="460"/>
      <c r="FEU8" s="460"/>
      <c r="FEV8" s="460"/>
      <c r="FEW8" s="460"/>
      <c r="FEX8" s="450"/>
      <c r="FEY8" s="1857"/>
      <c r="FEZ8" s="1857"/>
      <c r="FFA8" s="1857"/>
      <c r="FFB8" s="1857"/>
      <c r="FFC8" s="1857"/>
      <c r="FFD8" s="1857"/>
      <c r="FFE8" s="1857"/>
      <c r="FFF8" s="1857"/>
      <c r="FFG8" s="1857"/>
      <c r="FFH8" s="1857"/>
      <c r="FFI8" s="1857"/>
      <c r="FFJ8" s="1857"/>
      <c r="FFK8" s="1857"/>
      <c r="FFL8" s="454"/>
      <c r="FFM8" s="1858"/>
      <c r="FFN8" s="449"/>
      <c r="FFO8" s="449"/>
      <c r="FFP8" s="449"/>
      <c r="FFQ8" s="460"/>
      <c r="FFR8" s="460"/>
      <c r="FFS8" s="460"/>
      <c r="FFT8" s="460"/>
      <c r="FFU8" s="460"/>
      <c r="FFV8" s="460"/>
      <c r="FFW8" s="450"/>
      <c r="FFX8" s="1857"/>
      <c r="FFY8" s="1857"/>
      <c r="FFZ8" s="1857"/>
      <c r="FGA8" s="1857"/>
      <c r="FGB8" s="1857"/>
      <c r="FGC8" s="1857"/>
      <c r="FGD8" s="1857"/>
      <c r="FGE8" s="1857"/>
      <c r="FGF8" s="1857"/>
      <c r="FGG8" s="1857"/>
      <c r="FGH8" s="1857"/>
      <c r="FGI8" s="1857"/>
      <c r="FGJ8" s="1857"/>
      <c r="FGK8" s="454"/>
      <c r="FGL8" s="1858"/>
      <c r="FGM8" s="449"/>
      <c r="FGN8" s="449"/>
      <c r="FGO8" s="449"/>
      <c r="FGP8" s="460"/>
      <c r="FGQ8" s="460"/>
      <c r="FGR8" s="460"/>
      <c r="FGS8" s="460"/>
      <c r="FGT8" s="460"/>
      <c r="FGU8" s="460"/>
      <c r="FGV8" s="450"/>
      <c r="FGW8" s="1857"/>
      <c r="FGX8" s="1857"/>
      <c r="FGY8" s="1857"/>
      <c r="FGZ8" s="1857"/>
      <c r="FHA8" s="1857"/>
      <c r="FHB8" s="1857"/>
      <c r="FHC8" s="1857"/>
      <c r="FHD8" s="1857"/>
      <c r="FHE8" s="1857"/>
      <c r="FHF8" s="1857"/>
      <c r="FHG8" s="1857"/>
      <c r="FHH8" s="1857"/>
      <c r="FHI8" s="1857"/>
      <c r="FHJ8" s="454"/>
      <c r="FHK8" s="1858"/>
      <c r="FHL8" s="449"/>
      <c r="FHM8" s="449"/>
      <c r="FHN8" s="449"/>
      <c r="FHO8" s="460"/>
      <c r="FHP8" s="460"/>
      <c r="FHQ8" s="460"/>
      <c r="FHR8" s="460"/>
      <c r="FHS8" s="460"/>
      <c r="FHT8" s="460"/>
      <c r="FHU8" s="450"/>
      <c r="FHV8" s="1857"/>
      <c r="FHW8" s="1857"/>
      <c r="FHX8" s="1857"/>
      <c r="FHY8" s="1857"/>
      <c r="FHZ8" s="1857"/>
      <c r="FIA8" s="1857"/>
      <c r="FIB8" s="1857"/>
      <c r="FIC8" s="1857"/>
      <c r="FID8" s="1857"/>
      <c r="FIE8" s="1857"/>
      <c r="FIF8" s="1857"/>
      <c r="FIG8" s="1857"/>
      <c r="FIH8" s="1857"/>
      <c r="FII8" s="454"/>
      <c r="FIJ8" s="1858"/>
      <c r="FIK8" s="449"/>
      <c r="FIL8" s="449"/>
      <c r="FIM8" s="449"/>
      <c r="FIN8" s="460"/>
      <c r="FIO8" s="460"/>
      <c r="FIP8" s="460"/>
      <c r="FIQ8" s="460"/>
      <c r="FIR8" s="460"/>
      <c r="FIS8" s="460"/>
      <c r="FIT8" s="450"/>
      <c r="FIU8" s="1857"/>
      <c r="FIV8" s="1857"/>
      <c r="FIW8" s="1857"/>
      <c r="FIX8" s="1857"/>
      <c r="FIY8" s="1857"/>
      <c r="FIZ8" s="1857"/>
      <c r="FJA8" s="1857"/>
      <c r="FJB8" s="1857"/>
      <c r="FJC8" s="1857"/>
      <c r="FJD8" s="1857"/>
      <c r="FJE8" s="1857"/>
      <c r="FJF8" s="1857"/>
      <c r="FJG8" s="1857"/>
      <c r="FJH8" s="454"/>
      <c r="FJI8" s="1858"/>
      <c r="FJJ8" s="449"/>
      <c r="FJK8" s="449"/>
      <c r="FJL8" s="449"/>
      <c r="FJM8" s="460"/>
      <c r="FJN8" s="460"/>
      <c r="FJO8" s="460"/>
      <c r="FJP8" s="460"/>
      <c r="FJQ8" s="460"/>
      <c r="FJR8" s="460"/>
      <c r="FJS8" s="450"/>
      <c r="FJT8" s="1857"/>
      <c r="FJU8" s="1857"/>
      <c r="FJV8" s="1857"/>
      <c r="FJW8" s="1857"/>
      <c r="FJX8" s="1857"/>
      <c r="FJY8" s="1857"/>
      <c r="FJZ8" s="1857"/>
      <c r="FKA8" s="1857"/>
      <c r="FKB8" s="1857"/>
      <c r="FKC8" s="1857"/>
      <c r="FKD8" s="1857"/>
      <c r="FKE8" s="1857"/>
      <c r="FKF8" s="1857"/>
      <c r="FKG8" s="454"/>
      <c r="FKH8" s="1858"/>
      <c r="FKI8" s="449"/>
      <c r="FKJ8" s="449"/>
      <c r="FKK8" s="449"/>
      <c r="FKL8" s="460"/>
      <c r="FKM8" s="460"/>
      <c r="FKN8" s="460"/>
      <c r="FKO8" s="460"/>
      <c r="FKP8" s="460"/>
      <c r="FKQ8" s="460"/>
      <c r="FKR8" s="450"/>
      <c r="FKS8" s="1857"/>
      <c r="FKT8" s="1857"/>
      <c r="FKU8" s="1857"/>
      <c r="FKV8" s="1857"/>
      <c r="FKW8" s="1857"/>
      <c r="FKX8" s="1857"/>
      <c r="FKY8" s="1857"/>
      <c r="FKZ8" s="1857"/>
      <c r="FLA8" s="1857"/>
      <c r="FLB8" s="1857"/>
      <c r="FLC8" s="1857"/>
      <c r="FLD8" s="1857"/>
      <c r="FLE8" s="1857"/>
      <c r="FLF8" s="454"/>
      <c r="FLG8" s="1858"/>
      <c r="FLH8" s="449"/>
      <c r="FLI8" s="449"/>
      <c r="FLJ8" s="449"/>
      <c r="FLK8" s="460"/>
      <c r="FLL8" s="460"/>
      <c r="FLM8" s="460"/>
      <c r="FLN8" s="460"/>
      <c r="FLO8" s="460"/>
      <c r="FLP8" s="460"/>
      <c r="FLQ8" s="450"/>
      <c r="FLR8" s="1857"/>
      <c r="FLS8" s="1857"/>
      <c r="FLT8" s="1857"/>
      <c r="FLU8" s="1857"/>
      <c r="FLV8" s="1857"/>
      <c r="FLW8" s="1857"/>
      <c r="FLX8" s="1857"/>
      <c r="FLY8" s="1857"/>
      <c r="FLZ8" s="1857"/>
      <c r="FMA8" s="1857"/>
      <c r="FMB8" s="1857"/>
      <c r="FMC8" s="1857"/>
      <c r="FMD8" s="1857"/>
      <c r="FME8" s="454"/>
      <c r="FMF8" s="1858"/>
      <c r="FMG8" s="449"/>
      <c r="FMH8" s="449"/>
      <c r="FMI8" s="449"/>
      <c r="FMJ8" s="460"/>
      <c r="FMK8" s="460"/>
      <c r="FML8" s="460"/>
      <c r="FMM8" s="460"/>
      <c r="FMN8" s="460"/>
      <c r="FMO8" s="460"/>
      <c r="FMP8" s="450"/>
      <c r="FMQ8" s="1857"/>
      <c r="FMR8" s="1857"/>
      <c r="FMS8" s="1857"/>
      <c r="FMT8" s="1857"/>
      <c r="FMU8" s="1857"/>
      <c r="FMV8" s="1857"/>
      <c r="FMW8" s="1857"/>
      <c r="FMX8" s="1857"/>
      <c r="FMY8" s="1857"/>
      <c r="FMZ8" s="1857"/>
      <c r="FNA8" s="1857"/>
      <c r="FNB8" s="1857"/>
      <c r="FNC8" s="1857"/>
      <c r="FND8" s="454"/>
      <c r="FNE8" s="1858"/>
      <c r="FNF8" s="449"/>
      <c r="FNG8" s="449"/>
      <c r="FNH8" s="449"/>
      <c r="FNI8" s="460"/>
      <c r="FNJ8" s="460"/>
      <c r="FNK8" s="460"/>
      <c r="FNL8" s="460"/>
      <c r="FNM8" s="460"/>
      <c r="FNN8" s="460"/>
      <c r="FNO8" s="450"/>
      <c r="FNP8" s="1857"/>
      <c r="FNQ8" s="1857"/>
      <c r="FNR8" s="1857"/>
      <c r="FNS8" s="1857"/>
      <c r="FNT8" s="1857"/>
      <c r="FNU8" s="1857"/>
      <c r="FNV8" s="1857"/>
      <c r="FNW8" s="1857"/>
      <c r="FNX8" s="1857"/>
      <c r="FNY8" s="1857"/>
      <c r="FNZ8" s="1857"/>
      <c r="FOA8" s="1857"/>
      <c r="FOB8" s="1857"/>
      <c r="FOC8" s="454"/>
      <c r="FOD8" s="1858"/>
      <c r="FOE8" s="449"/>
      <c r="FOF8" s="449"/>
      <c r="FOG8" s="449"/>
      <c r="FOH8" s="460"/>
      <c r="FOI8" s="460"/>
      <c r="FOJ8" s="460"/>
      <c r="FOK8" s="460"/>
      <c r="FOL8" s="460"/>
      <c r="FOM8" s="460"/>
      <c r="FON8" s="450"/>
      <c r="FOO8" s="1857"/>
      <c r="FOP8" s="1857"/>
      <c r="FOQ8" s="1857"/>
      <c r="FOR8" s="1857"/>
      <c r="FOS8" s="1857"/>
      <c r="FOT8" s="1857"/>
      <c r="FOU8" s="1857"/>
      <c r="FOV8" s="1857"/>
      <c r="FOW8" s="1857"/>
      <c r="FOX8" s="1857"/>
      <c r="FOY8" s="1857"/>
      <c r="FOZ8" s="1857"/>
      <c r="FPA8" s="1857"/>
      <c r="FPB8" s="454"/>
      <c r="FPC8" s="1858"/>
      <c r="FPD8" s="449"/>
      <c r="FPE8" s="449"/>
      <c r="FPF8" s="449"/>
      <c r="FPG8" s="460"/>
      <c r="FPH8" s="460"/>
      <c r="FPI8" s="460"/>
      <c r="FPJ8" s="460"/>
      <c r="FPK8" s="460"/>
      <c r="FPL8" s="460"/>
      <c r="FPM8" s="450"/>
      <c r="FPN8" s="1857"/>
      <c r="FPO8" s="1857"/>
      <c r="FPP8" s="1857"/>
      <c r="FPQ8" s="1857"/>
      <c r="FPR8" s="1857"/>
      <c r="FPS8" s="1857"/>
      <c r="FPT8" s="1857"/>
      <c r="FPU8" s="1857"/>
      <c r="FPV8" s="1857"/>
      <c r="FPW8" s="1857"/>
      <c r="FPX8" s="1857"/>
      <c r="FPY8" s="1857"/>
      <c r="FPZ8" s="1857"/>
      <c r="FQA8" s="454"/>
      <c r="FQB8" s="1858"/>
      <c r="FQC8" s="449"/>
      <c r="FQD8" s="449"/>
      <c r="FQE8" s="449"/>
      <c r="FQF8" s="460"/>
      <c r="FQG8" s="460"/>
      <c r="FQH8" s="460"/>
      <c r="FQI8" s="460"/>
      <c r="FQJ8" s="460"/>
      <c r="FQK8" s="460"/>
      <c r="FQL8" s="450"/>
      <c r="FQM8" s="1857"/>
      <c r="FQN8" s="1857"/>
      <c r="FQO8" s="1857"/>
      <c r="FQP8" s="1857"/>
      <c r="FQQ8" s="1857"/>
      <c r="FQR8" s="1857"/>
      <c r="FQS8" s="1857"/>
      <c r="FQT8" s="1857"/>
      <c r="FQU8" s="1857"/>
      <c r="FQV8" s="1857"/>
      <c r="FQW8" s="1857"/>
      <c r="FQX8" s="1857"/>
      <c r="FQY8" s="1857"/>
      <c r="FQZ8" s="454"/>
      <c r="FRA8" s="1858"/>
      <c r="FRB8" s="449"/>
      <c r="FRC8" s="449"/>
      <c r="FRD8" s="449"/>
      <c r="FRE8" s="460"/>
      <c r="FRF8" s="460"/>
      <c r="FRG8" s="460"/>
      <c r="FRH8" s="460"/>
      <c r="FRI8" s="460"/>
      <c r="FRJ8" s="460"/>
      <c r="FRK8" s="450"/>
      <c r="FRL8" s="1857"/>
      <c r="FRM8" s="1857"/>
      <c r="FRN8" s="1857"/>
      <c r="FRO8" s="1857"/>
      <c r="FRP8" s="1857"/>
      <c r="FRQ8" s="1857"/>
      <c r="FRR8" s="1857"/>
      <c r="FRS8" s="1857"/>
      <c r="FRT8" s="1857"/>
      <c r="FRU8" s="1857"/>
      <c r="FRV8" s="1857"/>
      <c r="FRW8" s="1857"/>
      <c r="FRX8" s="1857"/>
      <c r="FRY8" s="454"/>
      <c r="FRZ8" s="1858"/>
      <c r="FSA8" s="449"/>
      <c r="FSB8" s="449"/>
      <c r="FSC8" s="449"/>
      <c r="FSD8" s="460"/>
      <c r="FSE8" s="460"/>
      <c r="FSF8" s="460"/>
      <c r="FSG8" s="460"/>
      <c r="FSH8" s="460"/>
      <c r="FSI8" s="460"/>
      <c r="FSJ8" s="450"/>
      <c r="FSK8" s="1857"/>
      <c r="FSL8" s="1857"/>
      <c r="FSM8" s="1857"/>
      <c r="FSN8" s="1857"/>
      <c r="FSO8" s="1857"/>
      <c r="FSP8" s="1857"/>
      <c r="FSQ8" s="1857"/>
      <c r="FSR8" s="1857"/>
      <c r="FSS8" s="1857"/>
      <c r="FST8" s="1857"/>
      <c r="FSU8" s="1857"/>
      <c r="FSV8" s="1857"/>
      <c r="FSW8" s="1857"/>
      <c r="FSX8" s="454"/>
      <c r="FSY8" s="1858"/>
      <c r="FSZ8" s="449"/>
      <c r="FTA8" s="449"/>
      <c r="FTB8" s="449"/>
      <c r="FTC8" s="460"/>
      <c r="FTD8" s="460"/>
      <c r="FTE8" s="460"/>
      <c r="FTF8" s="460"/>
      <c r="FTG8" s="460"/>
      <c r="FTH8" s="460"/>
      <c r="FTI8" s="450"/>
      <c r="FTJ8" s="1857"/>
      <c r="FTK8" s="1857"/>
      <c r="FTL8" s="1857"/>
      <c r="FTM8" s="1857"/>
      <c r="FTN8" s="1857"/>
      <c r="FTO8" s="1857"/>
      <c r="FTP8" s="1857"/>
      <c r="FTQ8" s="1857"/>
      <c r="FTR8" s="1857"/>
      <c r="FTS8" s="1857"/>
      <c r="FTT8" s="1857"/>
      <c r="FTU8" s="1857"/>
      <c r="FTV8" s="1857"/>
      <c r="FTW8" s="454"/>
      <c r="FTX8" s="1858"/>
      <c r="FTY8" s="449"/>
      <c r="FTZ8" s="449"/>
      <c r="FUA8" s="449"/>
      <c r="FUB8" s="460"/>
      <c r="FUC8" s="460"/>
      <c r="FUD8" s="460"/>
      <c r="FUE8" s="460"/>
      <c r="FUF8" s="460"/>
      <c r="FUG8" s="460"/>
      <c r="FUH8" s="450"/>
      <c r="FUI8" s="1857"/>
      <c r="FUJ8" s="1857"/>
      <c r="FUK8" s="1857"/>
      <c r="FUL8" s="1857"/>
      <c r="FUM8" s="1857"/>
      <c r="FUN8" s="1857"/>
      <c r="FUO8" s="1857"/>
      <c r="FUP8" s="1857"/>
      <c r="FUQ8" s="1857"/>
      <c r="FUR8" s="1857"/>
      <c r="FUS8" s="1857"/>
      <c r="FUT8" s="1857"/>
      <c r="FUU8" s="1857"/>
      <c r="FUV8" s="454"/>
      <c r="FUW8" s="1858"/>
      <c r="FUX8" s="449"/>
      <c r="FUY8" s="449"/>
      <c r="FUZ8" s="449"/>
      <c r="FVA8" s="460"/>
      <c r="FVB8" s="460"/>
      <c r="FVC8" s="460"/>
      <c r="FVD8" s="460"/>
      <c r="FVE8" s="460"/>
      <c r="FVF8" s="460"/>
      <c r="FVG8" s="450"/>
      <c r="FVH8" s="1857"/>
      <c r="FVI8" s="1857"/>
      <c r="FVJ8" s="1857"/>
      <c r="FVK8" s="1857"/>
      <c r="FVL8" s="1857"/>
      <c r="FVM8" s="1857"/>
      <c r="FVN8" s="1857"/>
      <c r="FVO8" s="1857"/>
      <c r="FVP8" s="1857"/>
      <c r="FVQ8" s="1857"/>
      <c r="FVR8" s="1857"/>
      <c r="FVS8" s="1857"/>
      <c r="FVT8" s="1857"/>
      <c r="FVU8" s="454"/>
      <c r="FVV8" s="1858"/>
      <c r="FVW8" s="449"/>
      <c r="FVX8" s="449"/>
      <c r="FVY8" s="449"/>
      <c r="FVZ8" s="460"/>
      <c r="FWA8" s="460"/>
      <c r="FWB8" s="460"/>
      <c r="FWC8" s="460"/>
      <c r="FWD8" s="460"/>
      <c r="FWE8" s="460"/>
      <c r="FWF8" s="450"/>
      <c r="FWG8" s="1857"/>
      <c r="FWH8" s="1857"/>
      <c r="FWI8" s="1857"/>
      <c r="FWJ8" s="1857"/>
      <c r="FWK8" s="1857"/>
      <c r="FWL8" s="1857"/>
      <c r="FWM8" s="1857"/>
      <c r="FWN8" s="1857"/>
      <c r="FWO8" s="1857"/>
      <c r="FWP8" s="1857"/>
      <c r="FWQ8" s="1857"/>
      <c r="FWR8" s="1857"/>
      <c r="FWS8" s="1857"/>
      <c r="FWT8" s="454"/>
      <c r="FWU8" s="1858"/>
      <c r="FWV8" s="449"/>
      <c r="FWW8" s="449"/>
      <c r="FWX8" s="449"/>
      <c r="FWY8" s="460"/>
      <c r="FWZ8" s="460"/>
      <c r="FXA8" s="460"/>
      <c r="FXB8" s="460"/>
      <c r="FXC8" s="460"/>
      <c r="FXD8" s="460"/>
      <c r="FXE8" s="450"/>
      <c r="FXF8" s="1857"/>
      <c r="FXG8" s="1857"/>
      <c r="FXH8" s="1857"/>
      <c r="FXI8" s="1857"/>
      <c r="FXJ8" s="1857"/>
      <c r="FXK8" s="1857"/>
      <c r="FXL8" s="1857"/>
      <c r="FXM8" s="1857"/>
      <c r="FXN8" s="1857"/>
      <c r="FXO8" s="1857"/>
      <c r="FXP8" s="1857"/>
      <c r="FXQ8" s="1857"/>
      <c r="FXR8" s="1857"/>
      <c r="FXS8" s="454"/>
      <c r="FXT8" s="1858"/>
      <c r="FXU8" s="449"/>
      <c r="FXV8" s="449"/>
      <c r="FXW8" s="449"/>
      <c r="FXX8" s="460"/>
      <c r="FXY8" s="460"/>
      <c r="FXZ8" s="460"/>
      <c r="FYA8" s="460"/>
      <c r="FYB8" s="460"/>
      <c r="FYC8" s="460"/>
      <c r="FYD8" s="450"/>
      <c r="FYE8" s="1857"/>
      <c r="FYF8" s="1857"/>
      <c r="FYG8" s="1857"/>
      <c r="FYH8" s="1857"/>
      <c r="FYI8" s="1857"/>
      <c r="FYJ8" s="1857"/>
      <c r="FYK8" s="1857"/>
      <c r="FYL8" s="1857"/>
      <c r="FYM8" s="1857"/>
      <c r="FYN8" s="1857"/>
      <c r="FYO8" s="1857"/>
      <c r="FYP8" s="1857"/>
      <c r="FYQ8" s="1857"/>
      <c r="FYR8" s="454"/>
      <c r="FYS8" s="1858"/>
      <c r="FYT8" s="449"/>
      <c r="FYU8" s="449"/>
      <c r="FYV8" s="449"/>
      <c r="FYW8" s="460"/>
      <c r="FYX8" s="460"/>
      <c r="FYY8" s="460"/>
      <c r="FYZ8" s="460"/>
      <c r="FZA8" s="460"/>
      <c r="FZB8" s="460"/>
      <c r="FZC8" s="450"/>
      <c r="FZD8" s="1857"/>
      <c r="FZE8" s="1857"/>
      <c r="FZF8" s="1857"/>
      <c r="FZG8" s="1857"/>
      <c r="FZH8" s="1857"/>
      <c r="FZI8" s="1857"/>
      <c r="FZJ8" s="1857"/>
      <c r="FZK8" s="1857"/>
      <c r="FZL8" s="1857"/>
      <c r="FZM8" s="1857"/>
      <c r="FZN8" s="1857"/>
      <c r="FZO8" s="1857"/>
      <c r="FZP8" s="1857"/>
      <c r="FZQ8" s="454"/>
      <c r="FZR8" s="1858"/>
      <c r="FZS8" s="449"/>
      <c r="FZT8" s="449"/>
      <c r="FZU8" s="449"/>
      <c r="FZV8" s="460"/>
      <c r="FZW8" s="460"/>
      <c r="FZX8" s="460"/>
      <c r="FZY8" s="460"/>
      <c r="FZZ8" s="460"/>
      <c r="GAA8" s="460"/>
      <c r="GAB8" s="450"/>
      <c r="GAC8" s="1857"/>
      <c r="GAD8" s="1857"/>
      <c r="GAE8" s="1857"/>
      <c r="GAF8" s="1857"/>
      <c r="GAG8" s="1857"/>
      <c r="GAH8" s="1857"/>
      <c r="GAI8" s="1857"/>
      <c r="GAJ8" s="1857"/>
      <c r="GAK8" s="1857"/>
      <c r="GAL8" s="1857"/>
      <c r="GAM8" s="1857"/>
      <c r="GAN8" s="1857"/>
      <c r="GAO8" s="1857"/>
      <c r="GAP8" s="454"/>
      <c r="GAQ8" s="1858"/>
      <c r="GAR8" s="449"/>
      <c r="GAS8" s="449"/>
      <c r="GAT8" s="449"/>
      <c r="GAU8" s="460"/>
      <c r="GAV8" s="460"/>
      <c r="GAW8" s="460"/>
      <c r="GAX8" s="460"/>
      <c r="GAY8" s="460"/>
      <c r="GAZ8" s="460"/>
      <c r="GBA8" s="450"/>
      <c r="GBB8" s="1857"/>
      <c r="GBC8" s="1857"/>
      <c r="GBD8" s="1857"/>
      <c r="GBE8" s="1857"/>
      <c r="GBF8" s="1857"/>
      <c r="GBG8" s="1857"/>
      <c r="GBH8" s="1857"/>
      <c r="GBI8" s="1857"/>
      <c r="GBJ8" s="1857"/>
      <c r="GBK8" s="1857"/>
      <c r="GBL8" s="1857"/>
      <c r="GBM8" s="1857"/>
      <c r="GBN8" s="1857"/>
      <c r="GBO8" s="454"/>
      <c r="GBP8" s="1858"/>
      <c r="GBQ8" s="449"/>
      <c r="GBR8" s="449"/>
      <c r="GBS8" s="449"/>
      <c r="GBT8" s="460"/>
      <c r="GBU8" s="460"/>
      <c r="GBV8" s="460"/>
      <c r="GBW8" s="460"/>
      <c r="GBX8" s="460"/>
      <c r="GBY8" s="460"/>
      <c r="GBZ8" s="450"/>
      <c r="GCA8" s="1857"/>
      <c r="GCB8" s="1857"/>
      <c r="GCC8" s="1857"/>
      <c r="GCD8" s="1857"/>
      <c r="GCE8" s="1857"/>
      <c r="GCF8" s="1857"/>
      <c r="GCG8" s="1857"/>
      <c r="GCH8" s="1857"/>
      <c r="GCI8" s="1857"/>
      <c r="GCJ8" s="1857"/>
      <c r="GCK8" s="1857"/>
      <c r="GCL8" s="1857"/>
      <c r="GCM8" s="1857"/>
      <c r="GCN8" s="454"/>
      <c r="GCO8" s="1858"/>
      <c r="GCP8" s="449"/>
      <c r="GCQ8" s="449"/>
      <c r="GCR8" s="449"/>
      <c r="GCS8" s="460"/>
      <c r="GCT8" s="460"/>
      <c r="GCU8" s="460"/>
      <c r="GCV8" s="460"/>
      <c r="GCW8" s="460"/>
      <c r="GCX8" s="460"/>
      <c r="GCY8" s="450"/>
      <c r="GCZ8" s="1857"/>
      <c r="GDA8" s="1857"/>
      <c r="GDB8" s="1857"/>
      <c r="GDC8" s="1857"/>
      <c r="GDD8" s="1857"/>
      <c r="GDE8" s="1857"/>
      <c r="GDF8" s="1857"/>
      <c r="GDG8" s="1857"/>
      <c r="GDH8" s="1857"/>
      <c r="GDI8" s="1857"/>
      <c r="GDJ8" s="1857"/>
      <c r="GDK8" s="1857"/>
      <c r="GDL8" s="1857"/>
      <c r="GDM8" s="454"/>
      <c r="GDN8" s="1858"/>
      <c r="GDO8" s="449"/>
      <c r="GDP8" s="449"/>
      <c r="GDQ8" s="449"/>
      <c r="GDR8" s="460"/>
      <c r="GDS8" s="460"/>
      <c r="GDT8" s="460"/>
      <c r="GDU8" s="460"/>
      <c r="GDV8" s="460"/>
      <c r="GDW8" s="460"/>
      <c r="GDX8" s="450"/>
      <c r="GDY8" s="1857"/>
      <c r="GDZ8" s="1857"/>
      <c r="GEA8" s="1857"/>
      <c r="GEB8" s="1857"/>
      <c r="GEC8" s="1857"/>
      <c r="GED8" s="1857"/>
      <c r="GEE8" s="1857"/>
      <c r="GEF8" s="1857"/>
      <c r="GEG8" s="1857"/>
      <c r="GEH8" s="1857"/>
      <c r="GEI8" s="1857"/>
      <c r="GEJ8" s="1857"/>
      <c r="GEK8" s="1857"/>
      <c r="GEL8" s="454"/>
      <c r="GEM8" s="1858"/>
      <c r="GEN8" s="449"/>
      <c r="GEO8" s="449"/>
      <c r="GEP8" s="449"/>
      <c r="GEQ8" s="460"/>
      <c r="GER8" s="460"/>
      <c r="GES8" s="460"/>
      <c r="GET8" s="460"/>
      <c r="GEU8" s="460"/>
      <c r="GEV8" s="460"/>
      <c r="GEW8" s="450"/>
      <c r="GEX8" s="1857"/>
      <c r="GEY8" s="1857"/>
      <c r="GEZ8" s="1857"/>
      <c r="GFA8" s="1857"/>
      <c r="GFB8" s="1857"/>
      <c r="GFC8" s="1857"/>
      <c r="GFD8" s="1857"/>
      <c r="GFE8" s="1857"/>
      <c r="GFF8" s="1857"/>
      <c r="GFG8" s="1857"/>
      <c r="GFH8" s="1857"/>
      <c r="GFI8" s="1857"/>
      <c r="GFJ8" s="1857"/>
      <c r="GFK8" s="454"/>
      <c r="GFL8" s="1858"/>
      <c r="GFM8" s="449"/>
      <c r="GFN8" s="449"/>
      <c r="GFO8" s="449"/>
      <c r="GFP8" s="460"/>
      <c r="GFQ8" s="460"/>
      <c r="GFR8" s="460"/>
      <c r="GFS8" s="460"/>
      <c r="GFT8" s="460"/>
      <c r="GFU8" s="460"/>
      <c r="GFV8" s="450"/>
      <c r="GFW8" s="1857"/>
      <c r="GFX8" s="1857"/>
      <c r="GFY8" s="1857"/>
      <c r="GFZ8" s="1857"/>
      <c r="GGA8" s="1857"/>
      <c r="GGB8" s="1857"/>
      <c r="GGC8" s="1857"/>
      <c r="GGD8" s="1857"/>
      <c r="GGE8" s="1857"/>
      <c r="GGF8" s="1857"/>
      <c r="GGG8" s="1857"/>
      <c r="GGH8" s="1857"/>
      <c r="GGI8" s="1857"/>
      <c r="GGJ8" s="454"/>
      <c r="GGK8" s="1858"/>
      <c r="GGL8" s="449"/>
      <c r="GGM8" s="449"/>
      <c r="GGN8" s="449"/>
      <c r="GGO8" s="460"/>
      <c r="GGP8" s="460"/>
      <c r="GGQ8" s="460"/>
      <c r="GGR8" s="460"/>
      <c r="GGS8" s="460"/>
      <c r="GGT8" s="460"/>
      <c r="GGU8" s="450"/>
      <c r="GGV8" s="1857"/>
      <c r="GGW8" s="1857"/>
      <c r="GGX8" s="1857"/>
      <c r="GGY8" s="1857"/>
      <c r="GGZ8" s="1857"/>
      <c r="GHA8" s="1857"/>
      <c r="GHB8" s="1857"/>
      <c r="GHC8" s="1857"/>
      <c r="GHD8" s="1857"/>
      <c r="GHE8" s="1857"/>
      <c r="GHF8" s="1857"/>
      <c r="GHG8" s="1857"/>
      <c r="GHH8" s="1857"/>
      <c r="GHI8" s="454"/>
      <c r="GHJ8" s="1858"/>
      <c r="GHK8" s="449"/>
      <c r="GHL8" s="449"/>
      <c r="GHM8" s="449"/>
      <c r="GHN8" s="460"/>
      <c r="GHO8" s="460"/>
      <c r="GHP8" s="460"/>
      <c r="GHQ8" s="460"/>
      <c r="GHR8" s="460"/>
      <c r="GHS8" s="460"/>
      <c r="GHT8" s="450"/>
      <c r="GHU8" s="1857"/>
      <c r="GHV8" s="1857"/>
      <c r="GHW8" s="1857"/>
      <c r="GHX8" s="1857"/>
      <c r="GHY8" s="1857"/>
      <c r="GHZ8" s="1857"/>
      <c r="GIA8" s="1857"/>
      <c r="GIB8" s="1857"/>
      <c r="GIC8" s="1857"/>
      <c r="GID8" s="1857"/>
      <c r="GIE8" s="1857"/>
      <c r="GIF8" s="1857"/>
      <c r="GIG8" s="1857"/>
      <c r="GIH8" s="454"/>
      <c r="GII8" s="1858"/>
      <c r="GIJ8" s="449"/>
      <c r="GIK8" s="449"/>
      <c r="GIL8" s="449"/>
      <c r="GIM8" s="460"/>
      <c r="GIN8" s="460"/>
      <c r="GIO8" s="460"/>
      <c r="GIP8" s="460"/>
      <c r="GIQ8" s="460"/>
      <c r="GIR8" s="460"/>
      <c r="GIS8" s="450"/>
      <c r="GIT8" s="1857"/>
      <c r="GIU8" s="1857"/>
      <c r="GIV8" s="1857"/>
      <c r="GIW8" s="1857"/>
      <c r="GIX8" s="1857"/>
      <c r="GIY8" s="1857"/>
      <c r="GIZ8" s="1857"/>
      <c r="GJA8" s="1857"/>
      <c r="GJB8" s="1857"/>
      <c r="GJC8" s="1857"/>
      <c r="GJD8" s="1857"/>
      <c r="GJE8" s="1857"/>
      <c r="GJF8" s="1857"/>
      <c r="GJG8" s="454"/>
      <c r="GJH8" s="1858"/>
      <c r="GJI8" s="449"/>
      <c r="GJJ8" s="449"/>
      <c r="GJK8" s="449"/>
      <c r="GJL8" s="460"/>
      <c r="GJM8" s="460"/>
      <c r="GJN8" s="460"/>
      <c r="GJO8" s="460"/>
      <c r="GJP8" s="460"/>
      <c r="GJQ8" s="460"/>
      <c r="GJR8" s="450"/>
      <c r="GJS8" s="1857"/>
      <c r="GJT8" s="1857"/>
      <c r="GJU8" s="1857"/>
      <c r="GJV8" s="1857"/>
      <c r="GJW8" s="1857"/>
      <c r="GJX8" s="1857"/>
      <c r="GJY8" s="1857"/>
      <c r="GJZ8" s="1857"/>
      <c r="GKA8" s="1857"/>
      <c r="GKB8" s="1857"/>
      <c r="GKC8" s="1857"/>
      <c r="GKD8" s="1857"/>
      <c r="GKE8" s="1857"/>
      <c r="GKF8" s="454"/>
      <c r="GKG8" s="1858"/>
      <c r="GKH8" s="449"/>
      <c r="GKI8" s="449"/>
      <c r="GKJ8" s="449"/>
      <c r="GKK8" s="460"/>
      <c r="GKL8" s="460"/>
      <c r="GKM8" s="460"/>
      <c r="GKN8" s="460"/>
      <c r="GKO8" s="460"/>
      <c r="GKP8" s="460"/>
      <c r="GKQ8" s="450"/>
      <c r="GKR8" s="1857"/>
      <c r="GKS8" s="1857"/>
      <c r="GKT8" s="1857"/>
      <c r="GKU8" s="1857"/>
      <c r="GKV8" s="1857"/>
      <c r="GKW8" s="1857"/>
      <c r="GKX8" s="1857"/>
      <c r="GKY8" s="1857"/>
      <c r="GKZ8" s="1857"/>
      <c r="GLA8" s="1857"/>
      <c r="GLB8" s="1857"/>
      <c r="GLC8" s="1857"/>
      <c r="GLD8" s="1857"/>
      <c r="GLE8" s="454"/>
      <c r="GLF8" s="1858"/>
      <c r="GLG8" s="449"/>
      <c r="GLH8" s="449"/>
      <c r="GLI8" s="449"/>
      <c r="GLJ8" s="460"/>
      <c r="GLK8" s="460"/>
      <c r="GLL8" s="460"/>
      <c r="GLM8" s="460"/>
      <c r="GLN8" s="460"/>
      <c r="GLO8" s="460"/>
      <c r="GLP8" s="450"/>
      <c r="GLQ8" s="1857"/>
      <c r="GLR8" s="1857"/>
      <c r="GLS8" s="1857"/>
      <c r="GLT8" s="1857"/>
      <c r="GLU8" s="1857"/>
      <c r="GLV8" s="1857"/>
      <c r="GLW8" s="1857"/>
      <c r="GLX8" s="1857"/>
      <c r="GLY8" s="1857"/>
      <c r="GLZ8" s="1857"/>
      <c r="GMA8" s="1857"/>
      <c r="GMB8" s="1857"/>
      <c r="GMC8" s="1857"/>
      <c r="GMD8" s="454"/>
      <c r="GME8" s="1858"/>
      <c r="GMF8" s="449"/>
      <c r="GMG8" s="449"/>
      <c r="GMH8" s="449"/>
      <c r="GMI8" s="460"/>
      <c r="GMJ8" s="460"/>
      <c r="GMK8" s="460"/>
      <c r="GML8" s="460"/>
      <c r="GMM8" s="460"/>
      <c r="GMN8" s="460"/>
      <c r="GMO8" s="450"/>
      <c r="GMP8" s="1857"/>
      <c r="GMQ8" s="1857"/>
      <c r="GMR8" s="1857"/>
      <c r="GMS8" s="1857"/>
      <c r="GMT8" s="1857"/>
      <c r="GMU8" s="1857"/>
      <c r="GMV8" s="1857"/>
      <c r="GMW8" s="1857"/>
      <c r="GMX8" s="1857"/>
      <c r="GMY8" s="1857"/>
      <c r="GMZ8" s="1857"/>
      <c r="GNA8" s="1857"/>
      <c r="GNB8" s="1857"/>
      <c r="GNC8" s="454"/>
      <c r="GND8" s="1858"/>
      <c r="GNE8" s="449"/>
      <c r="GNF8" s="449"/>
      <c r="GNG8" s="449"/>
      <c r="GNH8" s="460"/>
      <c r="GNI8" s="460"/>
      <c r="GNJ8" s="460"/>
      <c r="GNK8" s="460"/>
      <c r="GNL8" s="460"/>
      <c r="GNM8" s="460"/>
      <c r="GNN8" s="450"/>
      <c r="GNO8" s="1857"/>
      <c r="GNP8" s="1857"/>
      <c r="GNQ8" s="1857"/>
      <c r="GNR8" s="1857"/>
      <c r="GNS8" s="1857"/>
      <c r="GNT8" s="1857"/>
      <c r="GNU8" s="1857"/>
      <c r="GNV8" s="1857"/>
      <c r="GNW8" s="1857"/>
      <c r="GNX8" s="1857"/>
      <c r="GNY8" s="1857"/>
      <c r="GNZ8" s="1857"/>
      <c r="GOA8" s="1857"/>
      <c r="GOB8" s="454"/>
      <c r="GOC8" s="1858"/>
      <c r="GOD8" s="449"/>
      <c r="GOE8" s="449"/>
      <c r="GOF8" s="449"/>
      <c r="GOG8" s="460"/>
      <c r="GOH8" s="460"/>
      <c r="GOI8" s="460"/>
      <c r="GOJ8" s="460"/>
      <c r="GOK8" s="460"/>
      <c r="GOL8" s="460"/>
      <c r="GOM8" s="450"/>
      <c r="GON8" s="1857"/>
      <c r="GOO8" s="1857"/>
      <c r="GOP8" s="1857"/>
      <c r="GOQ8" s="1857"/>
      <c r="GOR8" s="1857"/>
      <c r="GOS8" s="1857"/>
      <c r="GOT8" s="1857"/>
      <c r="GOU8" s="1857"/>
      <c r="GOV8" s="1857"/>
      <c r="GOW8" s="1857"/>
      <c r="GOX8" s="1857"/>
      <c r="GOY8" s="1857"/>
      <c r="GOZ8" s="1857"/>
      <c r="GPA8" s="454"/>
      <c r="GPB8" s="1858"/>
      <c r="GPC8" s="449"/>
      <c r="GPD8" s="449"/>
      <c r="GPE8" s="449"/>
      <c r="GPF8" s="460"/>
      <c r="GPG8" s="460"/>
      <c r="GPH8" s="460"/>
      <c r="GPI8" s="460"/>
      <c r="GPJ8" s="460"/>
      <c r="GPK8" s="460"/>
      <c r="GPL8" s="450"/>
      <c r="GPM8" s="1857"/>
      <c r="GPN8" s="1857"/>
      <c r="GPO8" s="1857"/>
      <c r="GPP8" s="1857"/>
      <c r="GPQ8" s="1857"/>
      <c r="GPR8" s="1857"/>
      <c r="GPS8" s="1857"/>
      <c r="GPT8" s="1857"/>
      <c r="GPU8" s="1857"/>
      <c r="GPV8" s="1857"/>
      <c r="GPW8" s="1857"/>
      <c r="GPX8" s="1857"/>
      <c r="GPY8" s="1857"/>
      <c r="GPZ8" s="454"/>
      <c r="GQA8" s="1858"/>
      <c r="GQB8" s="449"/>
      <c r="GQC8" s="449"/>
      <c r="GQD8" s="449"/>
      <c r="GQE8" s="460"/>
      <c r="GQF8" s="460"/>
      <c r="GQG8" s="460"/>
      <c r="GQH8" s="460"/>
      <c r="GQI8" s="460"/>
      <c r="GQJ8" s="460"/>
      <c r="GQK8" s="450"/>
      <c r="GQL8" s="1857"/>
      <c r="GQM8" s="1857"/>
      <c r="GQN8" s="1857"/>
      <c r="GQO8" s="1857"/>
      <c r="GQP8" s="1857"/>
      <c r="GQQ8" s="1857"/>
      <c r="GQR8" s="1857"/>
      <c r="GQS8" s="1857"/>
      <c r="GQT8" s="1857"/>
      <c r="GQU8" s="1857"/>
      <c r="GQV8" s="1857"/>
      <c r="GQW8" s="1857"/>
      <c r="GQX8" s="1857"/>
      <c r="GQY8" s="454"/>
      <c r="GQZ8" s="1858"/>
      <c r="GRA8" s="449"/>
      <c r="GRB8" s="449"/>
      <c r="GRC8" s="449"/>
      <c r="GRD8" s="460"/>
      <c r="GRE8" s="460"/>
      <c r="GRF8" s="460"/>
      <c r="GRG8" s="460"/>
      <c r="GRH8" s="460"/>
      <c r="GRI8" s="460"/>
      <c r="GRJ8" s="450"/>
      <c r="GRK8" s="1857"/>
      <c r="GRL8" s="1857"/>
      <c r="GRM8" s="1857"/>
      <c r="GRN8" s="1857"/>
      <c r="GRO8" s="1857"/>
      <c r="GRP8" s="1857"/>
      <c r="GRQ8" s="1857"/>
      <c r="GRR8" s="1857"/>
      <c r="GRS8" s="1857"/>
      <c r="GRT8" s="1857"/>
      <c r="GRU8" s="1857"/>
      <c r="GRV8" s="1857"/>
      <c r="GRW8" s="1857"/>
      <c r="GRX8" s="454"/>
      <c r="GRY8" s="1858"/>
      <c r="GRZ8" s="449"/>
      <c r="GSA8" s="449"/>
      <c r="GSB8" s="449"/>
      <c r="GSC8" s="460"/>
      <c r="GSD8" s="460"/>
      <c r="GSE8" s="460"/>
      <c r="GSF8" s="460"/>
      <c r="GSG8" s="460"/>
      <c r="GSH8" s="460"/>
      <c r="GSI8" s="450"/>
      <c r="GSJ8" s="1857"/>
      <c r="GSK8" s="1857"/>
      <c r="GSL8" s="1857"/>
      <c r="GSM8" s="1857"/>
      <c r="GSN8" s="1857"/>
      <c r="GSO8" s="1857"/>
      <c r="GSP8" s="1857"/>
      <c r="GSQ8" s="1857"/>
      <c r="GSR8" s="1857"/>
      <c r="GSS8" s="1857"/>
      <c r="GST8" s="1857"/>
      <c r="GSU8" s="1857"/>
      <c r="GSV8" s="1857"/>
      <c r="GSW8" s="454"/>
      <c r="GSX8" s="1858"/>
      <c r="GSY8" s="449"/>
      <c r="GSZ8" s="449"/>
      <c r="GTA8" s="449"/>
      <c r="GTB8" s="460"/>
      <c r="GTC8" s="460"/>
      <c r="GTD8" s="460"/>
      <c r="GTE8" s="460"/>
      <c r="GTF8" s="460"/>
      <c r="GTG8" s="460"/>
      <c r="GTH8" s="450"/>
      <c r="GTI8" s="1857"/>
      <c r="GTJ8" s="1857"/>
      <c r="GTK8" s="1857"/>
      <c r="GTL8" s="1857"/>
      <c r="GTM8" s="1857"/>
      <c r="GTN8" s="1857"/>
      <c r="GTO8" s="1857"/>
      <c r="GTP8" s="1857"/>
      <c r="GTQ8" s="1857"/>
      <c r="GTR8" s="1857"/>
      <c r="GTS8" s="1857"/>
      <c r="GTT8" s="1857"/>
      <c r="GTU8" s="1857"/>
      <c r="GTV8" s="454"/>
      <c r="GTW8" s="1858"/>
      <c r="GTX8" s="449"/>
      <c r="GTY8" s="449"/>
      <c r="GTZ8" s="449"/>
      <c r="GUA8" s="460"/>
      <c r="GUB8" s="460"/>
      <c r="GUC8" s="460"/>
      <c r="GUD8" s="460"/>
      <c r="GUE8" s="460"/>
      <c r="GUF8" s="460"/>
      <c r="GUG8" s="450"/>
      <c r="GUH8" s="1857"/>
      <c r="GUI8" s="1857"/>
      <c r="GUJ8" s="1857"/>
      <c r="GUK8" s="1857"/>
      <c r="GUL8" s="1857"/>
      <c r="GUM8" s="1857"/>
      <c r="GUN8" s="1857"/>
      <c r="GUO8" s="1857"/>
      <c r="GUP8" s="1857"/>
      <c r="GUQ8" s="1857"/>
      <c r="GUR8" s="1857"/>
      <c r="GUS8" s="1857"/>
      <c r="GUT8" s="1857"/>
      <c r="GUU8" s="454"/>
      <c r="GUV8" s="1858"/>
      <c r="GUW8" s="449"/>
      <c r="GUX8" s="449"/>
      <c r="GUY8" s="449"/>
      <c r="GUZ8" s="460"/>
      <c r="GVA8" s="460"/>
      <c r="GVB8" s="460"/>
      <c r="GVC8" s="460"/>
      <c r="GVD8" s="460"/>
      <c r="GVE8" s="460"/>
      <c r="GVF8" s="450"/>
      <c r="GVG8" s="1857"/>
      <c r="GVH8" s="1857"/>
      <c r="GVI8" s="1857"/>
      <c r="GVJ8" s="1857"/>
      <c r="GVK8" s="1857"/>
      <c r="GVL8" s="1857"/>
      <c r="GVM8" s="1857"/>
      <c r="GVN8" s="1857"/>
      <c r="GVO8" s="1857"/>
      <c r="GVP8" s="1857"/>
      <c r="GVQ8" s="1857"/>
      <c r="GVR8" s="1857"/>
      <c r="GVS8" s="1857"/>
      <c r="GVT8" s="454"/>
      <c r="GVU8" s="1858"/>
      <c r="GVV8" s="449"/>
      <c r="GVW8" s="449"/>
      <c r="GVX8" s="449"/>
      <c r="GVY8" s="460"/>
      <c r="GVZ8" s="460"/>
      <c r="GWA8" s="460"/>
      <c r="GWB8" s="460"/>
      <c r="GWC8" s="460"/>
      <c r="GWD8" s="460"/>
      <c r="GWE8" s="450"/>
      <c r="GWF8" s="1857"/>
      <c r="GWG8" s="1857"/>
      <c r="GWH8" s="1857"/>
      <c r="GWI8" s="1857"/>
      <c r="GWJ8" s="1857"/>
      <c r="GWK8" s="1857"/>
      <c r="GWL8" s="1857"/>
      <c r="GWM8" s="1857"/>
      <c r="GWN8" s="1857"/>
      <c r="GWO8" s="1857"/>
      <c r="GWP8" s="1857"/>
      <c r="GWQ8" s="1857"/>
      <c r="GWR8" s="1857"/>
      <c r="GWS8" s="454"/>
      <c r="GWT8" s="1858"/>
      <c r="GWU8" s="449"/>
      <c r="GWV8" s="449"/>
      <c r="GWW8" s="449"/>
      <c r="GWX8" s="460"/>
      <c r="GWY8" s="460"/>
      <c r="GWZ8" s="460"/>
      <c r="GXA8" s="460"/>
      <c r="GXB8" s="460"/>
      <c r="GXC8" s="460"/>
      <c r="GXD8" s="450"/>
      <c r="GXE8" s="1857"/>
      <c r="GXF8" s="1857"/>
      <c r="GXG8" s="1857"/>
      <c r="GXH8" s="1857"/>
      <c r="GXI8" s="1857"/>
      <c r="GXJ8" s="1857"/>
      <c r="GXK8" s="1857"/>
      <c r="GXL8" s="1857"/>
      <c r="GXM8" s="1857"/>
      <c r="GXN8" s="1857"/>
      <c r="GXO8" s="1857"/>
      <c r="GXP8" s="1857"/>
      <c r="GXQ8" s="1857"/>
      <c r="GXR8" s="454"/>
      <c r="GXS8" s="1858"/>
      <c r="GXT8" s="449"/>
      <c r="GXU8" s="449"/>
      <c r="GXV8" s="449"/>
      <c r="GXW8" s="460"/>
      <c r="GXX8" s="460"/>
      <c r="GXY8" s="460"/>
      <c r="GXZ8" s="460"/>
      <c r="GYA8" s="460"/>
      <c r="GYB8" s="460"/>
      <c r="GYC8" s="450"/>
      <c r="GYD8" s="1857"/>
      <c r="GYE8" s="1857"/>
      <c r="GYF8" s="1857"/>
      <c r="GYG8" s="1857"/>
      <c r="GYH8" s="1857"/>
      <c r="GYI8" s="1857"/>
      <c r="GYJ8" s="1857"/>
      <c r="GYK8" s="1857"/>
      <c r="GYL8" s="1857"/>
      <c r="GYM8" s="1857"/>
      <c r="GYN8" s="1857"/>
      <c r="GYO8" s="1857"/>
      <c r="GYP8" s="1857"/>
      <c r="GYQ8" s="454"/>
      <c r="GYR8" s="1858"/>
      <c r="GYS8" s="449"/>
      <c r="GYT8" s="449"/>
      <c r="GYU8" s="449"/>
      <c r="GYV8" s="460"/>
      <c r="GYW8" s="460"/>
      <c r="GYX8" s="460"/>
      <c r="GYY8" s="460"/>
      <c r="GYZ8" s="460"/>
      <c r="GZA8" s="460"/>
      <c r="GZB8" s="450"/>
      <c r="GZC8" s="1857"/>
      <c r="GZD8" s="1857"/>
      <c r="GZE8" s="1857"/>
      <c r="GZF8" s="1857"/>
      <c r="GZG8" s="1857"/>
      <c r="GZH8" s="1857"/>
      <c r="GZI8" s="1857"/>
      <c r="GZJ8" s="1857"/>
      <c r="GZK8" s="1857"/>
      <c r="GZL8" s="1857"/>
      <c r="GZM8" s="1857"/>
      <c r="GZN8" s="1857"/>
      <c r="GZO8" s="1857"/>
      <c r="GZP8" s="454"/>
      <c r="GZQ8" s="1858"/>
      <c r="GZR8" s="449"/>
      <c r="GZS8" s="449"/>
      <c r="GZT8" s="449"/>
      <c r="GZU8" s="460"/>
      <c r="GZV8" s="460"/>
      <c r="GZW8" s="460"/>
      <c r="GZX8" s="460"/>
      <c r="GZY8" s="460"/>
      <c r="GZZ8" s="460"/>
      <c r="HAA8" s="450"/>
      <c r="HAB8" s="1857"/>
      <c r="HAC8" s="1857"/>
      <c r="HAD8" s="1857"/>
      <c r="HAE8" s="1857"/>
      <c r="HAF8" s="1857"/>
      <c r="HAG8" s="1857"/>
      <c r="HAH8" s="1857"/>
      <c r="HAI8" s="1857"/>
      <c r="HAJ8" s="1857"/>
      <c r="HAK8" s="1857"/>
      <c r="HAL8" s="1857"/>
      <c r="HAM8" s="1857"/>
      <c r="HAN8" s="1857"/>
      <c r="HAO8" s="454"/>
      <c r="HAP8" s="1858"/>
      <c r="HAQ8" s="449"/>
      <c r="HAR8" s="449"/>
      <c r="HAS8" s="449"/>
      <c r="HAT8" s="460"/>
      <c r="HAU8" s="460"/>
      <c r="HAV8" s="460"/>
      <c r="HAW8" s="460"/>
      <c r="HAX8" s="460"/>
      <c r="HAY8" s="460"/>
      <c r="HAZ8" s="450"/>
      <c r="HBA8" s="1857"/>
      <c r="HBB8" s="1857"/>
      <c r="HBC8" s="1857"/>
      <c r="HBD8" s="1857"/>
      <c r="HBE8" s="1857"/>
      <c r="HBF8" s="1857"/>
      <c r="HBG8" s="1857"/>
      <c r="HBH8" s="1857"/>
      <c r="HBI8" s="1857"/>
      <c r="HBJ8" s="1857"/>
      <c r="HBK8" s="1857"/>
      <c r="HBL8" s="1857"/>
      <c r="HBM8" s="1857"/>
      <c r="HBN8" s="454"/>
      <c r="HBO8" s="1858"/>
      <c r="HBP8" s="449"/>
      <c r="HBQ8" s="449"/>
      <c r="HBR8" s="449"/>
      <c r="HBS8" s="460"/>
      <c r="HBT8" s="460"/>
      <c r="HBU8" s="460"/>
      <c r="HBV8" s="460"/>
      <c r="HBW8" s="460"/>
      <c r="HBX8" s="460"/>
      <c r="HBY8" s="450"/>
      <c r="HBZ8" s="1857"/>
      <c r="HCA8" s="1857"/>
      <c r="HCB8" s="1857"/>
      <c r="HCC8" s="1857"/>
      <c r="HCD8" s="1857"/>
      <c r="HCE8" s="1857"/>
      <c r="HCF8" s="1857"/>
      <c r="HCG8" s="1857"/>
      <c r="HCH8" s="1857"/>
      <c r="HCI8" s="1857"/>
      <c r="HCJ8" s="1857"/>
      <c r="HCK8" s="1857"/>
      <c r="HCL8" s="1857"/>
      <c r="HCM8" s="454"/>
      <c r="HCN8" s="1858"/>
      <c r="HCO8" s="449"/>
      <c r="HCP8" s="449"/>
      <c r="HCQ8" s="449"/>
      <c r="HCR8" s="460"/>
      <c r="HCS8" s="460"/>
      <c r="HCT8" s="460"/>
      <c r="HCU8" s="460"/>
      <c r="HCV8" s="460"/>
      <c r="HCW8" s="460"/>
      <c r="HCX8" s="450"/>
      <c r="HCY8" s="1857"/>
      <c r="HCZ8" s="1857"/>
      <c r="HDA8" s="1857"/>
      <c r="HDB8" s="1857"/>
      <c r="HDC8" s="1857"/>
      <c r="HDD8" s="1857"/>
      <c r="HDE8" s="1857"/>
      <c r="HDF8" s="1857"/>
      <c r="HDG8" s="1857"/>
      <c r="HDH8" s="1857"/>
      <c r="HDI8" s="1857"/>
      <c r="HDJ8" s="1857"/>
      <c r="HDK8" s="1857"/>
      <c r="HDL8" s="454"/>
      <c r="HDM8" s="1858"/>
      <c r="HDN8" s="449"/>
      <c r="HDO8" s="449"/>
      <c r="HDP8" s="449"/>
      <c r="HDQ8" s="460"/>
      <c r="HDR8" s="460"/>
      <c r="HDS8" s="460"/>
      <c r="HDT8" s="460"/>
      <c r="HDU8" s="460"/>
      <c r="HDV8" s="460"/>
      <c r="HDW8" s="450"/>
      <c r="HDX8" s="1857"/>
      <c r="HDY8" s="1857"/>
      <c r="HDZ8" s="1857"/>
      <c r="HEA8" s="1857"/>
      <c r="HEB8" s="1857"/>
      <c r="HEC8" s="1857"/>
      <c r="HED8" s="1857"/>
      <c r="HEE8" s="1857"/>
      <c r="HEF8" s="1857"/>
      <c r="HEG8" s="1857"/>
      <c r="HEH8" s="1857"/>
      <c r="HEI8" s="1857"/>
      <c r="HEJ8" s="1857"/>
      <c r="HEK8" s="454"/>
      <c r="HEL8" s="1858"/>
      <c r="HEM8" s="449"/>
      <c r="HEN8" s="449"/>
      <c r="HEO8" s="449"/>
      <c r="HEP8" s="460"/>
      <c r="HEQ8" s="460"/>
      <c r="HER8" s="460"/>
      <c r="HES8" s="460"/>
      <c r="HET8" s="460"/>
      <c r="HEU8" s="460"/>
      <c r="HEV8" s="450"/>
      <c r="HEW8" s="1857"/>
      <c r="HEX8" s="1857"/>
      <c r="HEY8" s="1857"/>
      <c r="HEZ8" s="1857"/>
      <c r="HFA8" s="1857"/>
      <c r="HFB8" s="1857"/>
      <c r="HFC8" s="1857"/>
      <c r="HFD8" s="1857"/>
      <c r="HFE8" s="1857"/>
      <c r="HFF8" s="1857"/>
      <c r="HFG8" s="1857"/>
      <c r="HFH8" s="1857"/>
      <c r="HFI8" s="1857"/>
      <c r="HFJ8" s="454"/>
      <c r="HFK8" s="1858"/>
      <c r="HFL8" s="449"/>
      <c r="HFM8" s="449"/>
      <c r="HFN8" s="449"/>
      <c r="HFO8" s="460"/>
      <c r="HFP8" s="460"/>
      <c r="HFQ8" s="460"/>
      <c r="HFR8" s="460"/>
      <c r="HFS8" s="460"/>
      <c r="HFT8" s="460"/>
      <c r="HFU8" s="450"/>
      <c r="HFV8" s="1857"/>
      <c r="HFW8" s="1857"/>
      <c r="HFX8" s="1857"/>
      <c r="HFY8" s="1857"/>
      <c r="HFZ8" s="1857"/>
      <c r="HGA8" s="1857"/>
      <c r="HGB8" s="1857"/>
      <c r="HGC8" s="1857"/>
      <c r="HGD8" s="1857"/>
      <c r="HGE8" s="1857"/>
      <c r="HGF8" s="1857"/>
      <c r="HGG8" s="1857"/>
      <c r="HGH8" s="1857"/>
      <c r="HGI8" s="454"/>
      <c r="HGJ8" s="1858"/>
      <c r="HGK8" s="449"/>
      <c r="HGL8" s="449"/>
      <c r="HGM8" s="449"/>
      <c r="HGN8" s="460"/>
      <c r="HGO8" s="460"/>
      <c r="HGP8" s="460"/>
      <c r="HGQ8" s="460"/>
      <c r="HGR8" s="460"/>
      <c r="HGS8" s="460"/>
      <c r="HGT8" s="450"/>
      <c r="HGU8" s="1857"/>
      <c r="HGV8" s="1857"/>
      <c r="HGW8" s="1857"/>
      <c r="HGX8" s="1857"/>
      <c r="HGY8" s="1857"/>
      <c r="HGZ8" s="1857"/>
      <c r="HHA8" s="1857"/>
      <c r="HHB8" s="1857"/>
      <c r="HHC8" s="1857"/>
      <c r="HHD8" s="1857"/>
      <c r="HHE8" s="1857"/>
      <c r="HHF8" s="1857"/>
      <c r="HHG8" s="1857"/>
      <c r="HHH8" s="454"/>
      <c r="HHI8" s="1858"/>
      <c r="HHJ8" s="449"/>
      <c r="HHK8" s="449"/>
      <c r="HHL8" s="449"/>
      <c r="HHM8" s="460"/>
      <c r="HHN8" s="460"/>
      <c r="HHO8" s="460"/>
      <c r="HHP8" s="460"/>
      <c r="HHQ8" s="460"/>
      <c r="HHR8" s="460"/>
      <c r="HHS8" s="450"/>
      <c r="HHT8" s="1857"/>
      <c r="HHU8" s="1857"/>
      <c r="HHV8" s="1857"/>
      <c r="HHW8" s="1857"/>
      <c r="HHX8" s="1857"/>
      <c r="HHY8" s="1857"/>
      <c r="HHZ8" s="1857"/>
      <c r="HIA8" s="1857"/>
      <c r="HIB8" s="1857"/>
      <c r="HIC8" s="1857"/>
      <c r="HID8" s="1857"/>
      <c r="HIE8" s="1857"/>
      <c r="HIF8" s="1857"/>
      <c r="HIG8" s="454"/>
      <c r="HIH8" s="1858"/>
      <c r="HII8" s="449"/>
      <c r="HIJ8" s="449"/>
      <c r="HIK8" s="449"/>
      <c r="HIL8" s="460"/>
      <c r="HIM8" s="460"/>
      <c r="HIN8" s="460"/>
      <c r="HIO8" s="460"/>
      <c r="HIP8" s="460"/>
      <c r="HIQ8" s="460"/>
      <c r="HIR8" s="450"/>
      <c r="HIS8" s="1857"/>
      <c r="HIT8" s="1857"/>
      <c r="HIU8" s="1857"/>
      <c r="HIV8" s="1857"/>
      <c r="HIW8" s="1857"/>
      <c r="HIX8" s="1857"/>
      <c r="HIY8" s="1857"/>
      <c r="HIZ8" s="1857"/>
      <c r="HJA8" s="1857"/>
      <c r="HJB8" s="1857"/>
      <c r="HJC8" s="1857"/>
      <c r="HJD8" s="1857"/>
      <c r="HJE8" s="1857"/>
      <c r="HJF8" s="454"/>
      <c r="HJG8" s="1858"/>
      <c r="HJH8" s="449"/>
      <c r="HJI8" s="449"/>
      <c r="HJJ8" s="449"/>
      <c r="HJK8" s="460"/>
      <c r="HJL8" s="460"/>
      <c r="HJM8" s="460"/>
      <c r="HJN8" s="460"/>
      <c r="HJO8" s="460"/>
      <c r="HJP8" s="460"/>
      <c r="HJQ8" s="450"/>
      <c r="HJR8" s="1857"/>
      <c r="HJS8" s="1857"/>
      <c r="HJT8" s="1857"/>
      <c r="HJU8" s="1857"/>
      <c r="HJV8" s="1857"/>
      <c r="HJW8" s="1857"/>
      <c r="HJX8" s="1857"/>
      <c r="HJY8" s="1857"/>
      <c r="HJZ8" s="1857"/>
      <c r="HKA8" s="1857"/>
      <c r="HKB8" s="1857"/>
      <c r="HKC8" s="1857"/>
      <c r="HKD8" s="1857"/>
      <c r="HKE8" s="454"/>
      <c r="HKF8" s="1858"/>
      <c r="HKG8" s="449"/>
      <c r="HKH8" s="449"/>
      <c r="HKI8" s="449"/>
      <c r="HKJ8" s="460"/>
      <c r="HKK8" s="460"/>
      <c r="HKL8" s="460"/>
      <c r="HKM8" s="460"/>
      <c r="HKN8" s="460"/>
      <c r="HKO8" s="460"/>
      <c r="HKP8" s="450"/>
      <c r="HKQ8" s="1857"/>
      <c r="HKR8" s="1857"/>
      <c r="HKS8" s="1857"/>
      <c r="HKT8" s="1857"/>
      <c r="HKU8" s="1857"/>
      <c r="HKV8" s="1857"/>
      <c r="HKW8" s="1857"/>
      <c r="HKX8" s="1857"/>
      <c r="HKY8" s="1857"/>
      <c r="HKZ8" s="1857"/>
      <c r="HLA8" s="1857"/>
      <c r="HLB8" s="1857"/>
      <c r="HLC8" s="1857"/>
      <c r="HLD8" s="454"/>
      <c r="HLE8" s="1858"/>
      <c r="HLF8" s="449"/>
      <c r="HLG8" s="449"/>
      <c r="HLH8" s="449"/>
      <c r="HLI8" s="460"/>
      <c r="HLJ8" s="460"/>
      <c r="HLK8" s="460"/>
      <c r="HLL8" s="460"/>
      <c r="HLM8" s="460"/>
      <c r="HLN8" s="460"/>
      <c r="HLO8" s="450"/>
      <c r="HLP8" s="1857"/>
      <c r="HLQ8" s="1857"/>
      <c r="HLR8" s="1857"/>
      <c r="HLS8" s="1857"/>
      <c r="HLT8" s="1857"/>
      <c r="HLU8" s="1857"/>
      <c r="HLV8" s="1857"/>
      <c r="HLW8" s="1857"/>
      <c r="HLX8" s="1857"/>
      <c r="HLY8" s="1857"/>
      <c r="HLZ8" s="1857"/>
      <c r="HMA8" s="1857"/>
      <c r="HMB8" s="1857"/>
      <c r="HMC8" s="454"/>
      <c r="HMD8" s="1858"/>
      <c r="HME8" s="449"/>
      <c r="HMF8" s="449"/>
      <c r="HMG8" s="449"/>
      <c r="HMH8" s="460"/>
      <c r="HMI8" s="460"/>
      <c r="HMJ8" s="460"/>
      <c r="HMK8" s="460"/>
      <c r="HML8" s="460"/>
      <c r="HMM8" s="460"/>
      <c r="HMN8" s="450"/>
      <c r="HMO8" s="1857"/>
      <c r="HMP8" s="1857"/>
      <c r="HMQ8" s="1857"/>
      <c r="HMR8" s="1857"/>
      <c r="HMS8" s="1857"/>
      <c r="HMT8" s="1857"/>
      <c r="HMU8" s="1857"/>
      <c r="HMV8" s="1857"/>
      <c r="HMW8" s="1857"/>
      <c r="HMX8" s="1857"/>
      <c r="HMY8" s="1857"/>
      <c r="HMZ8" s="1857"/>
      <c r="HNA8" s="1857"/>
      <c r="HNB8" s="454"/>
      <c r="HNC8" s="1858"/>
      <c r="HND8" s="449"/>
      <c r="HNE8" s="449"/>
      <c r="HNF8" s="449"/>
      <c r="HNG8" s="460"/>
      <c r="HNH8" s="460"/>
      <c r="HNI8" s="460"/>
      <c r="HNJ8" s="460"/>
      <c r="HNK8" s="460"/>
      <c r="HNL8" s="460"/>
      <c r="HNM8" s="450"/>
      <c r="HNN8" s="1857"/>
      <c r="HNO8" s="1857"/>
      <c r="HNP8" s="1857"/>
      <c r="HNQ8" s="1857"/>
      <c r="HNR8" s="1857"/>
      <c r="HNS8" s="1857"/>
      <c r="HNT8" s="1857"/>
      <c r="HNU8" s="1857"/>
      <c r="HNV8" s="1857"/>
      <c r="HNW8" s="1857"/>
      <c r="HNX8" s="1857"/>
      <c r="HNY8" s="1857"/>
      <c r="HNZ8" s="1857"/>
      <c r="HOA8" s="454"/>
      <c r="HOB8" s="1858"/>
      <c r="HOC8" s="449"/>
      <c r="HOD8" s="449"/>
      <c r="HOE8" s="449"/>
      <c r="HOF8" s="460"/>
      <c r="HOG8" s="460"/>
      <c r="HOH8" s="460"/>
      <c r="HOI8" s="460"/>
      <c r="HOJ8" s="460"/>
      <c r="HOK8" s="460"/>
      <c r="HOL8" s="450"/>
      <c r="HOM8" s="1857"/>
      <c r="HON8" s="1857"/>
      <c r="HOO8" s="1857"/>
      <c r="HOP8" s="1857"/>
      <c r="HOQ8" s="1857"/>
      <c r="HOR8" s="1857"/>
      <c r="HOS8" s="1857"/>
      <c r="HOT8" s="1857"/>
      <c r="HOU8" s="1857"/>
      <c r="HOV8" s="1857"/>
      <c r="HOW8" s="1857"/>
      <c r="HOX8" s="1857"/>
      <c r="HOY8" s="1857"/>
      <c r="HOZ8" s="454"/>
      <c r="HPA8" s="1858"/>
      <c r="HPB8" s="449"/>
      <c r="HPC8" s="449"/>
      <c r="HPD8" s="449"/>
      <c r="HPE8" s="460"/>
      <c r="HPF8" s="460"/>
      <c r="HPG8" s="460"/>
      <c r="HPH8" s="460"/>
      <c r="HPI8" s="460"/>
      <c r="HPJ8" s="460"/>
      <c r="HPK8" s="450"/>
      <c r="HPL8" s="1857"/>
      <c r="HPM8" s="1857"/>
      <c r="HPN8" s="1857"/>
      <c r="HPO8" s="1857"/>
      <c r="HPP8" s="1857"/>
      <c r="HPQ8" s="1857"/>
      <c r="HPR8" s="1857"/>
      <c r="HPS8" s="1857"/>
      <c r="HPT8" s="1857"/>
      <c r="HPU8" s="1857"/>
      <c r="HPV8" s="1857"/>
      <c r="HPW8" s="1857"/>
      <c r="HPX8" s="1857"/>
      <c r="HPY8" s="454"/>
      <c r="HPZ8" s="1858"/>
      <c r="HQA8" s="449"/>
      <c r="HQB8" s="449"/>
      <c r="HQC8" s="449"/>
      <c r="HQD8" s="460"/>
      <c r="HQE8" s="460"/>
      <c r="HQF8" s="460"/>
      <c r="HQG8" s="460"/>
      <c r="HQH8" s="460"/>
      <c r="HQI8" s="460"/>
      <c r="HQJ8" s="450"/>
      <c r="HQK8" s="1857"/>
      <c r="HQL8" s="1857"/>
      <c r="HQM8" s="1857"/>
      <c r="HQN8" s="1857"/>
      <c r="HQO8" s="1857"/>
      <c r="HQP8" s="1857"/>
      <c r="HQQ8" s="1857"/>
      <c r="HQR8" s="1857"/>
      <c r="HQS8" s="1857"/>
      <c r="HQT8" s="1857"/>
      <c r="HQU8" s="1857"/>
      <c r="HQV8" s="1857"/>
      <c r="HQW8" s="1857"/>
      <c r="HQX8" s="454"/>
      <c r="HQY8" s="1858"/>
      <c r="HQZ8" s="449"/>
      <c r="HRA8" s="449"/>
      <c r="HRB8" s="449"/>
      <c r="HRC8" s="460"/>
      <c r="HRD8" s="460"/>
      <c r="HRE8" s="460"/>
      <c r="HRF8" s="460"/>
      <c r="HRG8" s="460"/>
      <c r="HRH8" s="460"/>
      <c r="HRI8" s="450"/>
      <c r="HRJ8" s="1857"/>
      <c r="HRK8" s="1857"/>
      <c r="HRL8" s="1857"/>
      <c r="HRM8" s="1857"/>
      <c r="HRN8" s="1857"/>
      <c r="HRO8" s="1857"/>
      <c r="HRP8" s="1857"/>
      <c r="HRQ8" s="1857"/>
      <c r="HRR8" s="1857"/>
      <c r="HRS8" s="1857"/>
      <c r="HRT8" s="1857"/>
      <c r="HRU8" s="1857"/>
      <c r="HRV8" s="1857"/>
      <c r="HRW8" s="454"/>
      <c r="HRX8" s="1858"/>
      <c r="HRY8" s="449"/>
      <c r="HRZ8" s="449"/>
      <c r="HSA8" s="449"/>
      <c r="HSB8" s="460"/>
      <c r="HSC8" s="460"/>
      <c r="HSD8" s="460"/>
      <c r="HSE8" s="460"/>
      <c r="HSF8" s="460"/>
      <c r="HSG8" s="460"/>
      <c r="HSH8" s="450"/>
      <c r="HSI8" s="1857"/>
      <c r="HSJ8" s="1857"/>
      <c r="HSK8" s="1857"/>
      <c r="HSL8" s="1857"/>
      <c r="HSM8" s="1857"/>
      <c r="HSN8" s="1857"/>
      <c r="HSO8" s="1857"/>
      <c r="HSP8" s="1857"/>
      <c r="HSQ8" s="1857"/>
      <c r="HSR8" s="1857"/>
      <c r="HSS8" s="1857"/>
      <c r="HST8" s="1857"/>
      <c r="HSU8" s="1857"/>
      <c r="HSV8" s="454"/>
      <c r="HSW8" s="1858"/>
      <c r="HSX8" s="449"/>
      <c r="HSY8" s="449"/>
      <c r="HSZ8" s="449"/>
      <c r="HTA8" s="460"/>
      <c r="HTB8" s="460"/>
      <c r="HTC8" s="460"/>
      <c r="HTD8" s="460"/>
      <c r="HTE8" s="460"/>
      <c r="HTF8" s="460"/>
      <c r="HTG8" s="450"/>
      <c r="HTH8" s="1857"/>
      <c r="HTI8" s="1857"/>
      <c r="HTJ8" s="1857"/>
      <c r="HTK8" s="1857"/>
      <c r="HTL8" s="1857"/>
      <c r="HTM8" s="1857"/>
      <c r="HTN8" s="1857"/>
      <c r="HTO8" s="1857"/>
      <c r="HTP8" s="1857"/>
      <c r="HTQ8" s="1857"/>
      <c r="HTR8" s="1857"/>
      <c r="HTS8" s="1857"/>
      <c r="HTT8" s="1857"/>
      <c r="HTU8" s="454"/>
      <c r="HTV8" s="1858"/>
      <c r="HTW8" s="449"/>
      <c r="HTX8" s="449"/>
      <c r="HTY8" s="449"/>
      <c r="HTZ8" s="460"/>
      <c r="HUA8" s="460"/>
      <c r="HUB8" s="460"/>
      <c r="HUC8" s="460"/>
      <c r="HUD8" s="460"/>
      <c r="HUE8" s="460"/>
      <c r="HUF8" s="450"/>
      <c r="HUG8" s="1857"/>
      <c r="HUH8" s="1857"/>
      <c r="HUI8" s="1857"/>
      <c r="HUJ8" s="1857"/>
      <c r="HUK8" s="1857"/>
      <c r="HUL8" s="1857"/>
      <c r="HUM8" s="1857"/>
      <c r="HUN8" s="1857"/>
      <c r="HUO8" s="1857"/>
      <c r="HUP8" s="1857"/>
      <c r="HUQ8" s="1857"/>
      <c r="HUR8" s="1857"/>
      <c r="HUS8" s="1857"/>
      <c r="HUT8" s="454"/>
      <c r="HUU8" s="1858"/>
      <c r="HUV8" s="449"/>
      <c r="HUW8" s="449"/>
      <c r="HUX8" s="449"/>
      <c r="HUY8" s="460"/>
      <c r="HUZ8" s="460"/>
      <c r="HVA8" s="460"/>
      <c r="HVB8" s="460"/>
      <c r="HVC8" s="460"/>
      <c r="HVD8" s="460"/>
      <c r="HVE8" s="450"/>
      <c r="HVF8" s="1857"/>
      <c r="HVG8" s="1857"/>
      <c r="HVH8" s="1857"/>
      <c r="HVI8" s="1857"/>
      <c r="HVJ8" s="1857"/>
      <c r="HVK8" s="1857"/>
      <c r="HVL8" s="1857"/>
      <c r="HVM8" s="1857"/>
      <c r="HVN8" s="1857"/>
      <c r="HVO8" s="1857"/>
      <c r="HVP8" s="1857"/>
      <c r="HVQ8" s="1857"/>
      <c r="HVR8" s="1857"/>
      <c r="HVS8" s="454"/>
      <c r="HVT8" s="1858"/>
      <c r="HVU8" s="449"/>
      <c r="HVV8" s="449"/>
      <c r="HVW8" s="449"/>
      <c r="HVX8" s="460"/>
      <c r="HVY8" s="460"/>
      <c r="HVZ8" s="460"/>
      <c r="HWA8" s="460"/>
      <c r="HWB8" s="460"/>
      <c r="HWC8" s="460"/>
      <c r="HWD8" s="450"/>
      <c r="HWE8" s="1857"/>
      <c r="HWF8" s="1857"/>
      <c r="HWG8" s="1857"/>
      <c r="HWH8" s="1857"/>
      <c r="HWI8" s="1857"/>
      <c r="HWJ8" s="1857"/>
      <c r="HWK8" s="1857"/>
      <c r="HWL8" s="1857"/>
      <c r="HWM8" s="1857"/>
      <c r="HWN8" s="1857"/>
      <c r="HWO8" s="1857"/>
      <c r="HWP8" s="1857"/>
      <c r="HWQ8" s="1857"/>
      <c r="HWR8" s="454"/>
      <c r="HWS8" s="1858"/>
      <c r="HWT8" s="449"/>
      <c r="HWU8" s="449"/>
      <c r="HWV8" s="449"/>
      <c r="HWW8" s="460"/>
      <c r="HWX8" s="460"/>
      <c r="HWY8" s="460"/>
      <c r="HWZ8" s="460"/>
      <c r="HXA8" s="460"/>
      <c r="HXB8" s="460"/>
      <c r="HXC8" s="450"/>
      <c r="HXD8" s="1857"/>
      <c r="HXE8" s="1857"/>
      <c r="HXF8" s="1857"/>
      <c r="HXG8" s="1857"/>
      <c r="HXH8" s="1857"/>
      <c r="HXI8" s="1857"/>
      <c r="HXJ8" s="1857"/>
      <c r="HXK8" s="1857"/>
      <c r="HXL8" s="1857"/>
      <c r="HXM8" s="1857"/>
      <c r="HXN8" s="1857"/>
      <c r="HXO8" s="1857"/>
      <c r="HXP8" s="1857"/>
      <c r="HXQ8" s="454"/>
      <c r="HXR8" s="1858"/>
      <c r="HXS8" s="449"/>
      <c r="HXT8" s="449"/>
      <c r="HXU8" s="449"/>
      <c r="HXV8" s="460"/>
      <c r="HXW8" s="460"/>
      <c r="HXX8" s="460"/>
      <c r="HXY8" s="460"/>
      <c r="HXZ8" s="460"/>
      <c r="HYA8" s="460"/>
      <c r="HYB8" s="450"/>
      <c r="HYC8" s="1857"/>
      <c r="HYD8" s="1857"/>
      <c r="HYE8" s="1857"/>
      <c r="HYF8" s="1857"/>
      <c r="HYG8" s="1857"/>
      <c r="HYH8" s="1857"/>
      <c r="HYI8" s="1857"/>
      <c r="HYJ8" s="1857"/>
      <c r="HYK8" s="1857"/>
      <c r="HYL8" s="1857"/>
      <c r="HYM8" s="1857"/>
      <c r="HYN8" s="1857"/>
      <c r="HYO8" s="1857"/>
      <c r="HYP8" s="454"/>
      <c r="HYQ8" s="1858"/>
      <c r="HYR8" s="449"/>
      <c r="HYS8" s="449"/>
      <c r="HYT8" s="449"/>
      <c r="HYU8" s="460"/>
      <c r="HYV8" s="460"/>
      <c r="HYW8" s="460"/>
      <c r="HYX8" s="460"/>
      <c r="HYY8" s="460"/>
      <c r="HYZ8" s="460"/>
      <c r="HZA8" s="450"/>
      <c r="HZB8" s="1857"/>
      <c r="HZC8" s="1857"/>
      <c r="HZD8" s="1857"/>
      <c r="HZE8" s="1857"/>
      <c r="HZF8" s="1857"/>
      <c r="HZG8" s="1857"/>
      <c r="HZH8" s="1857"/>
      <c r="HZI8" s="1857"/>
      <c r="HZJ8" s="1857"/>
      <c r="HZK8" s="1857"/>
      <c r="HZL8" s="1857"/>
      <c r="HZM8" s="1857"/>
      <c r="HZN8" s="1857"/>
      <c r="HZO8" s="454"/>
      <c r="HZP8" s="1858"/>
      <c r="HZQ8" s="449"/>
      <c r="HZR8" s="449"/>
      <c r="HZS8" s="449"/>
      <c r="HZT8" s="460"/>
      <c r="HZU8" s="460"/>
      <c r="HZV8" s="460"/>
      <c r="HZW8" s="460"/>
      <c r="HZX8" s="460"/>
      <c r="HZY8" s="460"/>
      <c r="HZZ8" s="450"/>
      <c r="IAA8" s="1857"/>
      <c r="IAB8" s="1857"/>
      <c r="IAC8" s="1857"/>
      <c r="IAD8" s="1857"/>
      <c r="IAE8" s="1857"/>
      <c r="IAF8" s="1857"/>
      <c r="IAG8" s="1857"/>
      <c r="IAH8" s="1857"/>
      <c r="IAI8" s="1857"/>
      <c r="IAJ8" s="1857"/>
      <c r="IAK8" s="1857"/>
      <c r="IAL8" s="1857"/>
      <c r="IAM8" s="1857"/>
      <c r="IAN8" s="454"/>
      <c r="IAO8" s="1858"/>
      <c r="IAP8" s="449"/>
      <c r="IAQ8" s="449"/>
      <c r="IAR8" s="449"/>
      <c r="IAS8" s="460"/>
      <c r="IAT8" s="460"/>
      <c r="IAU8" s="460"/>
      <c r="IAV8" s="460"/>
      <c r="IAW8" s="460"/>
      <c r="IAX8" s="460"/>
      <c r="IAY8" s="450"/>
      <c r="IAZ8" s="1857"/>
      <c r="IBA8" s="1857"/>
      <c r="IBB8" s="1857"/>
      <c r="IBC8" s="1857"/>
      <c r="IBD8" s="1857"/>
      <c r="IBE8" s="1857"/>
      <c r="IBF8" s="1857"/>
      <c r="IBG8" s="1857"/>
      <c r="IBH8" s="1857"/>
      <c r="IBI8" s="1857"/>
      <c r="IBJ8" s="1857"/>
      <c r="IBK8" s="1857"/>
      <c r="IBL8" s="1857"/>
      <c r="IBM8" s="454"/>
      <c r="IBN8" s="1858"/>
      <c r="IBO8" s="449"/>
      <c r="IBP8" s="449"/>
      <c r="IBQ8" s="449"/>
      <c r="IBR8" s="460"/>
      <c r="IBS8" s="460"/>
      <c r="IBT8" s="460"/>
      <c r="IBU8" s="460"/>
      <c r="IBV8" s="460"/>
      <c r="IBW8" s="460"/>
      <c r="IBX8" s="450"/>
      <c r="IBY8" s="1857"/>
      <c r="IBZ8" s="1857"/>
      <c r="ICA8" s="1857"/>
      <c r="ICB8" s="1857"/>
      <c r="ICC8" s="1857"/>
      <c r="ICD8" s="1857"/>
      <c r="ICE8" s="1857"/>
      <c r="ICF8" s="1857"/>
      <c r="ICG8" s="1857"/>
      <c r="ICH8" s="1857"/>
      <c r="ICI8" s="1857"/>
      <c r="ICJ8" s="1857"/>
      <c r="ICK8" s="1857"/>
      <c r="ICL8" s="454"/>
      <c r="ICM8" s="1858"/>
      <c r="ICN8" s="449"/>
      <c r="ICO8" s="449"/>
      <c r="ICP8" s="449"/>
      <c r="ICQ8" s="460"/>
      <c r="ICR8" s="460"/>
      <c r="ICS8" s="460"/>
      <c r="ICT8" s="460"/>
      <c r="ICU8" s="460"/>
      <c r="ICV8" s="460"/>
      <c r="ICW8" s="450"/>
      <c r="ICX8" s="1857"/>
      <c r="ICY8" s="1857"/>
      <c r="ICZ8" s="1857"/>
      <c r="IDA8" s="1857"/>
      <c r="IDB8" s="1857"/>
      <c r="IDC8" s="1857"/>
      <c r="IDD8" s="1857"/>
      <c r="IDE8" s="1857"/>
      <c r="IDF8" s="1857"/>
      <c r="IDG8" s="1857"/>
      <c r="IDH8" s="1857"/>
      <c r="IDI8" s="1857"/>
      <c r="IDJ8" s="1857"/>
      <c r="IDK8" s="454"/>
      <c r="IDL8" s="1858"/>
      <c r="IDM8" s="449"/>
      <c r="IDN8" s="449"/>
      <c r="IDO8" s="449"/>
      <c r="IDP8" s="460"/>
      <c r="IDQ8" s="460"/>
      <c r="IDR8" s="460"/>
      <c r="IDS8" s="460"/>
      <c r="IDT8" s="460"/>
      <c r="IDU8" s="460"/>
      <c r="IDV8" s="450"/>
      <c r="IDW8" s="1857"/>
      <c r="IDX8" s="1857"/>
      <c r="IDY8" s="1857"/>
      <c r="IDZ8" s="1857"/>
      <c r="IEA8" s="1857"/>
      <c r="IEB8" s="1857"/>
      <c r="IEC8" s="1857"/>
      <c r="IED8" s="1857"/>
      <c r="IEE8" s="1857"/>
      <c r="IEF8" s="1857"/>
      <c r="IEG8" s="1857"/>
      <c r="IEH8" s="1857"/>
      <c r="IEI8" s="1857"/>
      <c r="IEJ8" s="454"/>
      <c r="IEK8" s="1858"/>
      <c r="IEL8" s="449"/>
      <c r="IEM8" s="449"/>
      <c r="IEN8" s="449"/>
      <c r="IEO8" s="460"/>
      <c r="IEP8" s="460"/>
      <c r="IEQ8" s="460"/>
      <c r="IER8" s="460"/>
      <c r="IES8" s="460"/>
      <c r="IET8" s="460"/>
      <c r="IEU8" s="450"/>
      <c r="IEV8" s="1857"/>
      <c r="IEW8" s="1857"/>
      <c r="IEX8" s="1857"/>
      <c r="IEY8" s="1857"/>
      <c r="IEZ8" s="1857"/>
      <c r="IFA8" s="1857"/>
      <c r="IFB8" s="1857"/>
      <c r="IFC8" s="1857"/>
      <c r="IFD8" s="1857"/>
      <c r="IFE8" s="1857"/>
      <c r="IFF8" s="1857"/>
      <c r="IFG8" s="1857"/>
      <c r="IFH8" s="1857"/>
      <c r="IFI8" s="454"/>
      <c r="IFJ8" s="1858"/>
      <c r="IFK8" s="449"/>
      <c r="IFL8" s="449"/>
      <c r="IFM8" s="449"/>
      <c r="IFN8" s="460"/>
      <c r="IFO8" s="460"/>
      <c r="IFP8" s="460"/>
      <c r="IFQ8" s="460"/>
      <c r="IFR8" s="460"/>
      <c r="IFS8" s="460"/>
      <c r="IFT8" s="450"/>
      <c r="IFU8" s="1857"/>
      <c r="IFV8" s="1857"/>
      <c r="IFW8" s="1857"/>
      <c r="IFX8" s="1857"/>
      <c r="IFY8" s="1857"/>
      <c r="IFZ8" s="1857"/>
      <c r="IGA8" s="1857"/>
      <c r="IGB8" s="1857"/>
      <c r="IGC8" s="1857"/>
      <c r="IGD8" s="1857"/>
      <c r="IGE8" s="1857"/>
      <c r="IGF8" s="1857"/>
      <c r="IGG8" s="1857"/>
      <c r="IGH8" s="454"/>
      <c r="IGI8" s="1858"/>
      <c r="IGJ8" s="449"/>
      <c r="IGK8" s="449"/>
      <c r="IGL8" s="449"/>
      <c r="IGM8" s="460"/>
      <c r="IGN8" s="460"/>
      <c r="IGO8" s="460"/>
      <c r="IGP8" s="460"/>
      <c r="IGQ8" s="460"/>
      <c r="IGR8" s="460"/>
      <c r="IGS8" s="450"/>
      <c r="IGT8" s="1857"/>
      <c r="IGU8" s="1857"/>
      <c r="IGV8" s="1857"/>
      <c r="IGW8" s="1857"/>
      <c r="IGX8" s="1857"/>
      <c r="IGY8" s="1857"/>
      <c r="IGZ8" s="1857"/>
      <c r="IHA8" s="1857"/>
      <c r="IHB8" s="1857"/>
      <c r="IHC8" s="1857"/>
      <c r="IHD8" s="1857"/>
      <c r="IHE8" s="1857"/>
      <c r="IHF8" s="1857"/>
      <c r="IHG8" s="454"/>
      <c r="IHH8" s="1858"/>
      <c r="IHI8" s="449"/>
      <c r="IHJ8" s="449"/>
      <c r="IHK8" s="449"/>
      <c r="IHL8" s="460"/>
      <c r="IHM8" s="460"/>
      <c r="IHN8" s="460"/>
      <c r="IHO8" s="460"/>
      <c r="IHP8" s="460"/>
      <c r="IHQ8" s="460"/>
      <c r="IHR8" s="450"/>
      <c r="IHS8" s="1857"/>
      <c r="IHT8" s="1857"/>
      <c r="IHU8" s="1857"/>
      <c r="IHV8" s="1857"/>
      <c r="IHW8" s="1857"/>
      <c r="IHX8" s="1857"/>
      <c r="IHY8" s="1857"/>
      <c r="IHZ8" s="1857"/>
      <c r="IIA8" s="1857"/>
      <c r="IIB8" s="1857"/>
      <c r="IIC8" s="1857"/>
      <c r="IID8" s="1857"/>
      <c r="IIE8" s="1857"/>
      <c r="IIF8" s="454"/>
      <c r="IIG8" s="1858"/>
      <c r="IIH8" s="449"/>
      <c r="III8" s="449"/>
      <c r="IIJ8" s="449"/>
      <c r="IIK8" s="460"/>
      <c r="IIL8" s="460"/>
      <c r="IIM8" s="460"/>
      <c r="IIN8" s="460"/>
      <c r="IIO8" s="460"/>
      <c r="IIP8" s="460"/>
      <c r="IIQ8" s="450"/>
      <c r="IIR8" s="1857"/>
      <c r="IIS8" s="1857"/>
      <c r="IIT8" s="1857"/>
      <c r="IIU8" s="1857"/>
      <c r="IIV8" s="1857"/>
      <c r="IIW8" s="1857"/>
      <c r="IIX8" s="1857"/>
      <c r="IIY8" s="1857"/>
      <c r="IIZ8" s="1857"/>
      <c r="IJA8" s="1857"/>
      <c r="IJB8" s="1857"/>
      <c r="IJC8" s="1857"/>
      <c r="IJD8" s="1857"/>
      <c r="IJE8" s="454"/>
      <c r="IJF8" s="1858"/>
      <c r="IJG8" s="449"/>
      <c r="IJH8" s="449"/>
      <c r="IJI8" s="449"/>
      <c r="IJJ8" s="460"/>
      <c r="IJK8" s="460"/>
      <c r="IJL8" s="460"/>
      <c r="IJM8" s="460"/>
      <c r="IJN8" s="460"/>
      <c r="IJO8" s="460"/>
      <c r="IJP8" s="450"/>
      <c r="IJQ8" s="1857"/>
      <c r="IJR8" s="1857"/>
      <c r="IJS8" s="1857"/>
      <c r="IJT8" s="1857"/>
      <c r="IJU8" s="1857"/>
      <c r="IJV8" s="1857"/>
      <c r="IJW8" s="1857"/>
      <c r="IJX8" s="1857"/>
      <c r="IJY8" s="1857"/>
      <c r="IJZ8" s="1857"/>
      <c r="IKA8" s="1857"/>
      <c r="IKB8" s="1857"/>
      <c r="IKC8" s="1857"/>
      <c r="IKD8" s="454"/>
      <c r="IKE8" s="1858"/>
      <c r="IKF8" s="449"/>
      <c r="IKG8" s="449"/>
      <c r="IKH8" s="449"/>
      <c r="IKI8" s="460"/>
      <c r="IKJ8" s="460"/>
      <c r="IKK8" s="460"/>
      <c r="IKL8" s="460"/>
      <c r="IKM8" s="460"/>
      <c r="IKN8" s="460"/>
      <c r="IKO8" s="450"/>
      <c r="IKP8" s="1857"/>
      <c r="IKQ8" s="1857"/>
      <c r="IKR8" s="1857"/>
      <c r="IKS8" s="1857"/>
      <c r="IKT8" s="1857"/>
      <c r="IKU8" s="1857"/>
      <c r="IKV8" s="1857"/>
      <c r="IKW8" s="1857"/>
      <c r="IKX8" s="1857"/>
      <c r="IKY8" s="1857"/>
      <c r="IKZ8" s="1857"/>
      <c r="ILA8" s="1857"/>
      <c r="ILB8" s="1857"/>
      <c r="ILC8" s="454"/>
      <c r="ILD8" s="1858"/>
      <c r="ILE8" s="449"/>
      <c r="ILF8" s="449"/>
      <c r="ILG8" s="449"/>
      <c r="ILH8" s="460"/>
      <c r="ILI8" s="460"/>
      <c r="ILJ8" s="460"/>
      <c r="ILK8" s="460"/>
      <c r="ILL8" s="460"/>
      <c r="ILM8" s="460"/>
      <c r="ILN8" s="450"/>
      <c r="ILO8" s="1857"/>
      <c r="ILP8" s="1857"/>
      <c r="ILQ8" s="1857"/>
      <c r="ILR8" s="1857"/>
      <c r="ILS8" s="1857"/>
      <c r="ILT8" s="1857"/>
      <c r="ILU8" s="1857"/>
      <c r="ILV8" s="1857"/>
      <c r="ILW8" s="1857"/>
      <c r="ILX8" s="1857"/>
      <c r="ILY8" s="1857"/>
      <c r="ILZ8" s="1857"/>
      <c r="IMA8" s="1857"/>
      <c r="IMB8" s="454"/>
      <c r="IMC8" s="1858"/>
      <c r="IMD8" s="449"/>
      <c r="IME8" s="449"/>
      <c r="IMF8" s="449"/>
      <c r="IMG8" s="460"/>
      <c r="IMH8" s="460"/>
      <c r="IMI8" s="460"/>
      <c r="IMJ8" s="460"/>
      <c r="IMK8" s="460"/>
      <c r="IML8" s="460"/>
      <c r="IMM8" s="450"/>
      <c r="IMN8" s="1857"/>
      <c r="IMO8" s="1857"/>
      <c r="IMP8" s="1857"/>
      <c r="IMQ8" s="1857"/>
      <c r="IMR8" s="1857"/>
      <c r="IMS8" s="1857"/>
      <c r="IMT8" s="1857"/>
      <c r="IMU8" s="1857"/>
      <c r="IMV8" s="1857"/>
      <c r="IMW8" s="1857"/>
      <c r="IMX8" s="1857"/>
      <c r="IMY8" s="1857"/>
      <c r="IMZ8" s="1857"/>
      <c r="INA8" s="454"/>
      <c r="INB8" s="1858"/>
      <c r="INC8" s="449"/>
      <c r="IND8" s="449"/>
      <c r="INE8" s="449"/>
      <c r="INF8" s="460"/>
      <c r="ING8" s="460"/>
      <c r="INH8" s="460"/>
      <c r="INI8" s="460"/>
      <c r="INJ8" s="460"/>
      <c r="INK8" s="460"/>
      <c r="INL8" s="450"/>
      <c r="INM8" s="1857"/>
      <c r="INN8" s="1857"/>
      <c r="INO8" s="1857"/>
      <c r="INP8" s="1857"/>
      <c r="INQ8" s="1857"/>
      <c r="INR8" s="1857"/>
      <c r="INS8" s="1857"/>
      <c r="INT8" s="1857"/>
      <c r="INU8" s="1857"/>
      <c r="INV8" s="1857"/>
      <c r="INW8" s="1857"/>
      <c r="INX8" s="1857"/>
      <c r="INY8" s="1857"/>
      <c r="INZ8" s="454"/>
      <c r="IOA8" s="1858"/>
      <c r="IOB8" s="449"/>
      <c r="IOC8" s="449"/>
      <c r="IOD8" s="449"/>
      <c r="IOE8" s="460"/>
      <c r="IOF8" s="460"/>
      <c r="IOG8" s="460"/>
      <c r="IOH8" s="460"/>
      <c r="IOI8" s="460"/>
      <c r="IOJ8" s="460"/>
      <c r="IOK8" s="450"/>
      <c r="IOL8" s="1857"/>
      <c r="IOM8" s="1857"/>
      <c r="ION8" s="1857"/>
      <c r="IOO8" s="1857"/>
      <c r="IOP8" s="1857"/>
      <c r="IOQ8" s="1857"/>
      <c r="IOR8" s="1857"/>
      <c r="IOS8" s="1857"/>
      <c r="IOT8" s="1857"/>
      <c r="IOU8" s="1857"/>
      <c r="IOV8" s="1857"/>
      <c r="IOW8" s="1857"/>
      <c r="IOX8" s="1857"/>
      <c r="IOY8" s="454"/>
      <c r="IOZ8" s="1858"/>
      <c r="IPA8" s="449"/>
      <c r="IPB8" s="449"/>
      <c r="IPC8" s="449"/>
      <c r="IPD8" s="460"/>
      <c r="IPE8" s="460"/>
      <c r="IPF8" s="460"/>
      <c r="IPG8" s="460"/>
      <c r="IPH8" s="460"/>
      <c r="IPI8" s="460"/>
      <c r="IPJ8" s="450"/>
      <c r="IPK8" s="1857"/>
      <c r="IPL8" s="1857"/>
      <c r="IPM8" s="1857"/>
      <c r="IPN8" s="1857"/>
      <c r="IPO8" s="1857"/>
      <c r="IPP8" s="1857"/>
      <c r="IPQ8" s="1857"/>
      <c r="IPR8" s="1857"/>
      <c r="IPS8" s="1857"/>
      <c r="IPT8" s="1857"/>
      <c r="IPU8" s="1857"/>
      <c r="IPV8" s="1857"/>
      <c r="IPW8" s="1857"/>
      <c r="IPX8" s="454"/>
      <c r="IPY8" s="1858"/>
      <c r="IPZ8" s="449"/>
      <c r="IQA8" s="449"/>
      <c r="IQB8" s="449"/>
      <c r="IQC8" s="460"/>
      <c r="IQD8" s="460"/>
      <c r="IQE8" s="460"/>
      <c r="IQF8" s="460"/>
      <c r="IQG8" s="460"/>
      <c r="IQH8" s="460"/>
      <c r="IQI8" s="450"/>
      <c r="IQJ8" s="1857"/>
      <c r="IQK8" s="1857"/>
      <c r="IQL8" s="1857"/>
      <c r="IQM8" s="1857"/>
      <c r="IQN8" s="1857"/>
      <c r="IQO8" s="1857"/>
      <c r="IQP8" s="1857"/>
      <c r="IQQ8" s="1857"/>
      <c r="IQR8" s="1857"/>
      <c r="IQS8" s="1857"/>
      <c r="IQT8" s="1857"/>
      <c r="IQU8" s="1857"/>
      <c r="IQV8" s="1857"/>
      <c r="IQW8" s="454"/>
      <c r="IQX8" s="1858"/>
      <c r="IQY8" s="449"/>
      <c r="IQZ8" s="449"/>
      <c r="IRA8" s="449"/>
      <c r="IRB8" s="460"/>
      <c r="IRC8" s="460"/>
      <c r="IRD8" s="460"/>
      <c r="IRE8" s="460"/>
      <c r="IRF8" s="460"/>
      <c r="IRG8" s="460"/>
      <c r="IRH8" s="450"/>
      <c r="IRI8" s="1857"/>
      <c r="IRJ8" s="1857"/>
      <c r="IRK8" s="1857"/>
      <c r="IRL8" s="1857"/>
      <c r="IRM8" s="1857"/>
      <c r="IRN8" s="1857"/>
      <c r="IRO8" s="1857"/>
      <c r="IRP8" s="1857"/>
      <c r="IRQ8" s="1857"/>
      <c r="IRR8" s="1857"/>
      <c r="IRS8" s="1857"/>
      <c r="IRT8" s="1857"/>
      <c r="IRU8" s="1857"/>
      <c r="IRV8" s="454"/>
      <c r="IRW8" s="1858"/>
      <c r="IRX8" s="449"/>
      <c r="IRY8" s="449"/>
      <c r="IRZ8" s="449"/>
      <c r="ISA8" s="460"/>
      <c r="ISB8" s="460"/>
      <c r="ISC8" s="460"/>
      <c r="ISD8" s="460"/>
      <c r="ISE8" s="460"/>
      <c r="ISF8" s="460"/>
      <c r="ISG8" s="450"/>
      <c r="ISH8" s="1857"/>
      <c r="ISI8" s="1857"/>
      <c r="ISJ8" s="1857"/>
      <c r="ISK8" s="1857"/>
      <c r="ISL8" s="1857"/>
      <c r="ISM8" s="1857"/>
      <c r="ISN8" s="1857"/>
      <c r="ISO8" s="1857"/>
      <c r="ISP8" s="1857"/>
      <c r="ISQ8" s="1857"/>
      <c r="ISR8" s="1857"/>
      <c r="ISS8" s="1857"/>
      <c r="IST8" s="1857"/>
      <c r="ISU8" s="454"/>
      <c r="ISV8" s="1858"/>
      <c r="ISW8" s="449"/>
      <c r="ISX8" s="449"/>
      <c r="ISY8" s="449"/>
      <c r="ISZ8" s="460"/>
      <c r="ITA8" s="460"/>
      <c r="ITB8" s="460"/>
      <c r="ITC8" s="460"/>
      <c r="ITD8" s="460"/>
      <c r="ITE8" s="460"/>
      <c r="ITF8" s="450"/>
      <c r="ITG8" s="1857"/>
      <c r="ITH8" s="1857"/>
      <c r="ITI8" s="1857"/>
      <c r="ITJ8" s="1857"/>
      <c r="ITK8" s="1857"/>
      <c r="ITL8" s="1857"/>
      <c r="ITM8" s="1857"/>
      <c r="ITN8" s="1857"/>
      <c r="ITO8" s="1857"/>
      <c r="ITP8" s="1857"/>
      <c r="ITQ8" s="1857"/>
      <c r="ITR8" s="1857"/>
      <c r="ITS8" s="1857"/>
      <c r="ITT8" s="454"/>
      <c r="ITU8" s="1858"/>
      <c r="ITV8" s="449"/>
      <c r="ITW8" s="449"/>
      <c r="ITX8" s="449"/>
      <c r="ITY8" s="460"/>
      <c r="ITZ8" s="460"/>
      <c r="IUA8" s="460"/>
      <c r="IUB8" s="460"/>
      <c r="IUC8" s="460"/>
      <c r="IUD8" s="460"/>
      <c r="IUE8" s="450"/>
      <c r="IUF8" s="1857"/>
      <c r="IUG8" s="1857"/>
      <c r="IUH8" s="1857"/>
      <c r="IUI8" s="1857"/>
      <c r="IUJ8" s="1857"/>
      <c r="IUK8" s="1857"/>
      <c r="IUL8" s="1857"/>
      <c r="IUM8" s="1857"/>
      <c r="IUN8" s="1857"/>
      <c r="IUO8" s="1857"/>
      <c r="IUP8" s="1857"/>
      <c r="IUQ8" s="1857"/>
      <c r="IUR8" s="1857"/>
      <c r="IUS8" s="454"/>
      <c r="IUT8" s="1858"/>
      <c r="IUU8" s="449"/>
      <c r="IUV8" s="449"/>
      <c r="IUW8" s="449"/>
      <c r="IUX8" s="460"/>
      <c r="IUY8" s="460"/>
      <c r="IUZ8" s="460"/>
      <c r="IVA8" s="460"/>
      <c r="IVB8" s="460"/>
      <c r="IVC8" s="460"/>
      <c r="IVD8" s="450"/>
      <c r="IVE8" s="1857"/>
      <c r="IVF8" s="1857"/>
      <c r="IVG8" s="1857"/>
      <c r="IVH8" s="1857"/>
      <c r="IVI8" s="1857"/>
      <c r="IVJ8" s="1857"/>
      <c r="IVK8" s="1857"/>
      <c r="IVL8" s="1857"/>
      <c r="IVM8" s="1857"/>
      <c r="IVN8" s="1857"/>
      <c r="IVO8" s="1857"/>
      <c r="IVP8" s="1857"/>
      <c r="IVQ8" s="1857"/>
      <c r="IVR8" s="454"/>
      <c r="IVS8" s="1858"/>
      <c r="IVT8" s="449"/>
      <c r="IVU8" s="449"/>
      <c r="IVV8" s="449"/>
      <c r="IVW8" s="460"/>
      <c r="IVX8" s="460"/>
      <c r="IVY8" s="460"/>
      <c r="IVZ8" s="460"/>
      <c r="IWA8" s="460"/>
      <c r="IWB8" s="460"/>
      <c r="IWC8" s="450"/>
      <c r="IWD8" s="1857"/>
      <c r="IWE8" s="1857"/>
      <c r="IWF8" s="1857"/>
      <c r="IWG8" s="1857"/>
      <c r="IWH8" s="1857"/>
      <c r="IWI8" s="1857"/>
      <c r="IWJ8" s="1857"/>
      <c r="IWK8" s="1857"/>
      <c r="IWL8" s="1857"/>
      <c r="IWM8" s="1857"/>
      <c r="IWN8" s="1857"/>
      <c r="IWO8" s="1857"/>
      <c r="IWP8" s="1857"/>
      <c r="IWQ8" s="454"/>
      <c r="IWR8" s="1858"/>
      <c r="IWS8" s="449"/>
      <c r="IWT8" s="449"/>
      <c r="IWU8" s="449"/>
      <c r="IWV8" s="460"/>
      <c r="IWW8" s="460"/>
      <c r="IWX8" s="460"/>
      <c r="IWY8" s="460"/>
      <c r="IWZ8" s="460"/>
      <c r="IXA8" s="460"/>
      <c r="IXB8" s="450"/>
      <c r="IXC8" s="1857"/>
      <c r="IXD8" s="1857"/>
      <c r="IXE8" s="1857"/>
      <c r="IXF8" s="1857"/>
      <c r="IXG8" s="1857"/>
      <c r="IXH8" s="1857"/>
      <c r="IXI8" s="1857"/>
      <c r="IXJ8" s="1857"/>
      <c r="IXK8" s="1857"/>
      <c r="IXL8" s="1857"/>
      <c r="IXM8" s="1857"/>
      <c r="IXN8" s="1857"/>
      <c r="IXO8" s="1857"/>
      <c r="IXP8" s="454"/>
      <c r="IXQ8" s="1858"/>
      <c r="IXR8" s="449"/>
      <c r="IXS8" s="449"/>
      <c r="IXT8" s="449"/>
      <c r="IXU8" s="460"/>
      <c r="IXV8" s="460"/>
      <c r="IXW8" s="460"/>
      <c r="IXX8" s="460"/>
      <c r="IXY8" s="460"/>
      <c r="IXZ8" s="460"/>
      <c r="IYA8" s="450"/>
      <c r="IYB8" s="1857"/>
      <c r="IYC8" s="1857"/>
      <c r="IYD8" s="1857"/>
      <c r="IYE8" s="1857"/>
      <c r="IYF8" s="1857"/>
      <c r="IYG8" s="1857"/>
      <c r="IYH8" s="1857"/>
      <c r="IYI8" s="1857"/>
      <c r="IYJ8" s="1857"/>
      <c r="IYK8" s="1857"/>
      <c r="IYL8" s="1857"/>
      <c r="IYM8" s="1857"/>
      <c r="IYN8" s="1857"/>
      <c r="IYO8" s="454"/>
      <c r="IYP8" s="1858"/>
      <c r="IYQ8" s="449"/>
      <c r="IYR8" s="449"/>
      <c r="IYS8" s="449"/>
      <c r="IYT8" s="460"/>
      <c r="IYU8" s="460"/>
      <c r="IYV8" s="460"/>
      <c r="IYW8" s="460"/>
      <c r="IYX8" s="460"/>
      <c r="IYY8" s="460"/>
      <c r="IYZ8" s="450"/>
      <c r="IZA8" s="1857"/>
      <c r="IZB8" s="1857"/>
      <c r="IZC8" s="1857"/>
      <c r="IZD8" s="1857"/>
      <c r="IZE8" s="1857"/>
      <c r="IZF8" s="1857"/>
      <c r="IZG8" s="1857"/>
      <c r="IZH8" s="1857"/>
      <c r="IZI8" s="1857"/>
      <c r="IZJ8" s="1857"/>
      <c r="IZK8" s="1857"/>
      <c r="IZL8" s="1857"/>
      <c r="IZM8" s="1857"/>
      <c r="IZN8" s="454"/>
      <c r="IZO8" s="1858"/>
      <c r="IZP8" s="449"/>
      <c r="IZQ8" s="449"/>
      <c r="IZR8" s="449"/>
      <c r="IZS8" s="460"/>
      <c r="IZT8" s="460"/>
      <c r="IZU8" s="460"/>
      <c r="IZV8" s="460"/>
      <c r="IZW8" s="460"/>
      <c r="IZX8" s="460"/>
      <c r="IZY8" s="450"/>
      <c r="IZZ8" s="1857"/>
      <c r="JAA8" s="1857"/>
      <c r="JAB8" s="1857"/>
      <c r="JAC8" s="1857"/>
      <c r="JAD8" s="1857"/>
      <c r="JAE8" s="1857"/>
      <c r="JAF8" s="1857"/>
      <c r="JAG8" s="1857"/>
      <c r="JAH8" s="1857"/>
      <c r="JAI8" s="1857"/>
      <c r="JAJ8" s="1857"/>
      <c r="JAK8" s="1857"/>
      <c r="JAL8" s="1857"/>
      <c r="JAM8" s="454"/>
      <c r="JAN8" s="1858"/>
      <c r="JAO8" s="449"/>
      <c r="JAP8" s="449"/>
      <c r="JAQ8" s="449"/>
      <c r="JAR8" s="460"/>
      <c r="JAS8" s="460"/>
      <c r="JAT8" s="460"/>
      <c r="JAU8" s="460"/>
      <c r="JAV8" s="460"/>
      <c r="JAW8" s="460"/>
      <c r="JAX8" s="450"/>
      <c r="JAY8" s="1857"/>
      <c r="JAZ8" s="1857"/>
      <c r="JBA8" s="1857"/>
      <c r="JBB8" s="1857"/>
      <c r="JBC8" s="1857"/>
      <c r="JBD8" s="1857"/>
      <c r="JBE8" s="1857"/>
      <c r="JBF8" s="1857"/>
      <c r="JBG8" s="1857"/>
      <c r="JBH8" s="1857"/>
      <c r="JBI8" s="1857"/>
      <c r="JBJ8" s="1857"/>
      <c r="JBK8" s="1857"/>
      <c r="JBL8" s="454"/>
      <c r="JBM8" s="1858"/>
      <c r="JBN8" s="449"/>
      <c r="JBO8" s="449"/>
      <c r="JBP8" s="449"/>
      <c r="JBQ8" s="460"/>
      <c r="JBR8" s="460"/>
      <c r="JBS8" s="460"/>
      <c r="JBT8" s="460"/>
      <c r="JBU8" s="460"/>
      <c r="JBV8" s="460"/>
      <c r="JBW8" s="450"/>
      <c r="JBX8" s="1857"/>
      <c r="JBY8" s="1857"/>
      <c r="JBZ8" s="1857"/>
      <c r="JCA8" s="1857"/>
      <c r="JCB8" s="1857"/>
      <c r="JCC8" s="1857"/>
      <c r="JCD8" s="1857"/>
      <c r="JCE8" s="1857"/>
      <c r="JCF8" s="1857"/>
      <c r="JCG8" s="1857"/>
      <c r="JCH8" s="1857"/>
      <c r="JCI8" s="1857"/>
      <c r="JCJ8" s="1857"/>
      <c r="JCK8" s="454"/>
      <c r="JCL8" s="1858"/>
      <c r="JCM8" s="449"/>
      <c r="JCN8" s="449"/>
      <c r="JCO8" s="449"/>
      <c r="JCP8" s="460"/>
      <c r="JCQ8" s="460"/>
      <c r="JCR8" s="460"/>
      <c r="JCS8" s="460"/>
      <c r="JCT8" s="460"/>
      <c r="JCU8" s="460"/>
      <c r="JCV8" s="450"/>
      <c r="JCW8" s="1857"/>
      <c r="JCX8" s="1857"/>
      <c r="JCY8" s="1857"/>
      <c r="JCZ8" s="1857"/>
      <c r="JDA8" s="1857"/>
      <c r="JDB8" s="1857"/>
      <c r="JDC8" s="1857"/>
      <c r="JDD8" s="1857"/>
      <c r="JDE8" s="1857"/>
      <c r="JDF8" s="1857"/>
      <c r="JDG8" s="1857"/>
      <c r="JDH8" s="1857"/>
      <c r="JDI8" s="1857"/>
      <c r="JDJ8" s="454"/>
      <c r="JDK8" s="1858"/>
      <c r="JDL8" s="449"/>
      <c r="JDM8" s="449"/>
      <c r="JDN8" s="449"/>
      <c r="JDO8" s="460"/>
      <c r="JDP8" s="460"/>
      <c r="JDQ8" s="460"/>
      <c r="JDR8" s="460"/>
      <c r="JDS8" s="460"/>
      <c r="JDT8" s="460"/>
      <c r="JDU8" s="450"/>
      <c r="JDV8" s="1857"/>
      <c r="JDW8" s="1857"/>
      <c r="JDX8" s="1857"/>
      <c r="JDY8" s="1857"/>
      <c r="JDZ8" s="1857"/>
      <c r="JEA8" s="1857"/>
      <c r="JEB8" s="1857"/>
      <c r="JEC8" s="1857"/>
      <c r="JED8" s="1857"/>
      <c r="JEE8" s="1857"/>
      <c r="JEF8" s="1857"/>
      <c r="JEG8" s="1857"/>
      <c r="JEH8" s="1857"/>
      <c r="JEI8" s="454"/>
      <c r="JEJ8" s="1858"/>
      <c r="JEK8" s="449"/>
      <c r="JEL8" s="449"/>
      <c r="JEM8" s="449"/>
      <c r="JEN8" s="460"/>
      <c r="JEO8" s="460"/>
      <c r="JEP8" s="460"/>
      <c r="JEQ8" s="460"/>
      <c r="JER8" s="460"/>
      <c r="JES8" s="460"/>
      <c r="JET8" s="450"/>
      <c r="JEU8" s="1857"/>
      <c r="JEV8" s="1857"/>
      <c r="JEW8" s="1857"/>
      <c r="JEX8" s="1857"/>
      <c r="JEY8" s="1857"/>
      <c r="JEZ8" s="1857"/>
      <c r="JFA8" s="1857"/>
      <c r="JFB8" s="1857"/>
      <c r="JFC8" s="1857"/>
      <c r="JFD8" s="1857"/>
      <c r="JFE8" s="1857"/>
      <c r="JFF8" s="1857"/>
      <c r="JFG8" s="1857"/>
      <c r="JFH8" s="454"/>
      <c r="JFI8" s="1858"/>
      <c r="JFJ8" s="449"/>
      <c r="JFK8" s="449"/>
      <c r="JFL8" s="449"/>
      <c r="JFM8" s="460"/>
      <c r="JFN8" s="460"/>
      <c r="JFO8" s="460"/>
      <c r="JFP8" s="460"/>
      <c r="JFQ8" s="460"/>
      <c r="JFR8" s="460"/>
      <c r="JFS8" s="450"/>
      <c r="JFT8" s="1857"/>
      <c r="JFU8" s="1857"/>
      <c r="JFV8" s="1857"/>
      <c r="JFW8" s="1857"/>
      <c r="JFX8" s="1857"/>
      <c r="JFY8" s="1857"/>
      <c r="JFZ8" s="1857"/>
      <c r="JGA8" s="1857"/>
      <c r="JGB8" s="1857"/>
      <c r="JGC8" s="1857"/>
      <c r="JGD8" s="1857"/>
      <c r="JGE8" s="1857"/>
      <c r="JGF8" s="1857"/>
      <c r="JGG8" s="454"/>
      <c r="JGH8" s="1858"/>
      <c r="JGI8" s="449"/>
      <c r="JGJ8" s="449"/>
      <c r="JGK8" s="449"/>
      <c r="JGL8" s="460"/>
      <c r="JGM8" s="460"/>
      <c r="JGN8" s="460"/>
      <c r="JGO8" s="460"/>
      <c r="JGP8" s="460"/>
      <c r="JGQ8" s="460"/>
      <c r="JGR8" s="450"/>
      <c r="JGS8" s="1857"/>
      <c r="JGT8" s="1857"/>
      <c r="JGU8" s="1857"/>
      <c r="JGV8" s="1857"/>
      <c r="JGW8" s="1857"/>
      <c r="JGX8" s="1857"/>
      <c r="JGY8" s="1857"/>
      <c r="JGZ8" s="1857"/>
      <c r="JHA8" s="1857"/>
      <c r="JHB8" s="1857"/>
      <c r="JHC8" s="1857"/>
      <c r="JHD8" s="1857"/>
      <c r="JHE8" s="1857"/>
      <c r="JHF8" s="454"/>
      <c r="JHG8" s="1858"/>
      <c r="JHH8" s="449"/>
      <c r="JHI8" s="449"/>
      <c r="JHJ8" s="449"/>
      <c r="JHK8" s="460"/>
      <c r="JHL8" s="460"/>
      <c r="JHM8" s="460"/>
      <c r="JHN8" s="460"/>
      <c r="JHO8" s="460"/>
      <c r="JHP8" s="460"/>
      <c r="JHQ8" s="450"/>
      <c r="JHR8" s="1857"/>
      <c r="JHS8" s="1857"/>
      <c r="JHT8" s="1857"/>
      <c r="JHU8" s="1857"/>
      <c r="JHV8" s="1857"/>
      <c r="JHW8" s="1857"/>
      <c r="JHX8" s="1857"/>
      <c r="JHY8" s="1857"/>
      <c r="JHZ8" s="1857"/>
      <c r="JIA8" s="1857"/>
      <c r="JIB8" s="1857"/>
      <c r="JIC8" s="1857"/>
      <c r="JID8" s="1857"/>
      <c r="JIE8" s="454"/>
      <c r="JIF8" s="1858"/>
      <c r="JIG8" s="449"/>
      <c r="JIH8" s="449"/>
      <c r="JII8" s="449"/>
      <c r="JIJ8" s="460"/>
      <c r="JIK8" s="460"/>
      <c r="JIL8" s="460"/>
      <c r="JIM8" s="460"/>
      <c r="JIN8" s="460"/>
      <c r="JIO8" s="460"/>
      <c r="JIP8" s="450"/>
      <c r="JIQ8" s="1857"/>
      <c r="JIR8" s="1857"/>
      <c r="JIS8" s="1857"/>
      <c r="JIT8" s="1857"/>
      <c r="JIU8" s="1857"/>
      <c r="JIV8" s="1857"/>
      <c r="JIW8" s="1857"/>
      <c r="JIX8" s="1857"/>
      <c r="JIY8" s="1857"/>
      <c r="JIZ8" s="1857"/>
      <c r="JJA8" s="1857"/>
      <c r="JJB8" s="1857"/>
      <c r="JJC8" s="1857"/>
      <c r="JJD8" s="454"/>
      <c r="JJE8" s="1858"/>
      <c r="JJF8" s="449"/>
      <c r="JJG8" s="449"/>
      <c r="JJH8" s="449"/>
      <c r="JJI8" s="460"/>
      <c r="JJJ8" s="460"/>
      <c r="JJK8" s="460"/>
      <c r="JJL8" s="460"/>
      <c r="JJM8" s="460"/>
      <c r="JJN8" s="460"/>
      <c r="JJO8" s="450"/>
      <c r="JJP8" s="1857"/>
      <c r="JJQ8" s="1857"/>
      <c r="JJR8" s="1857"/>
      <c r="JJS8" s="1857"/>
      <c r="JJT8" s="1857"/>
      <c r="JJU8" s="1857"/>
      <c r="JJV8" s="1857"/>
      <c r="JJW8" s="1857"/>
      <c r="JJX8" s="1857"/>
      <c r="JJY8" s="1857"/>
      <c r="JJZ8" s="1857"/>
      <c r="JKA8" s="1857"/>
      <c r="JKB8" s="1857"/>
      <c r="JKC8" s="454"/>
      <c r="JKD8" s="1858"/>
      <c r="JKE8" s="449"/>
      <c r="JKF8" s="449"/>
      <c r="JKG8" s="449"/>
      <c r="JKH8" s="460"/>
      <c r="JKI8" s="460"/>
      <c r="JKJ8" s="460"/>
      <c r="JKK8" s="460"/>
      <c r="JKL8" s="460"/>
      <c r="JKM8" s="460"/>
      <c r="JKN8" s="450"/>
      <c r="JKO8" s="1857"/>
      <c r="JKP8" s="1857"/>
      <c r="JKQ8" s="1857"/>
      <c r="JKR8" s="1857"/>
      <c r="JKS8" s="1857"/>
      <c r="JKT8" s="1857"/>
      <c r="JKU8" s="1857"/>
      <c r="JKV8" s="1857"/>
      <c r="JKW8" s="1857"/>
      <c r="JKX8" s="1857"/>
      <c r="JKY8" s="1857"/>
      <c r="JKZ8" s="1857"/>
      <c r="JLA8" s="1857"/>
      <c r="JLB8" s="454"/>
      <c r="JLC8" s="1858"/>
      <c r="JLD8" s="449"/>
      <c r="JLE8" s="449"/>
      <c r="JLF8" s="449"/>
      <c r="JLG8" s="460"/>
      <c r="JLH8" s="460"/>
      <c r="JLI8" s="460"/>
      <c r="JLJ8" s="460"/>
      <c r="JLK8" s="460"/>
      <c r="JLL8" s="460"/>
      <c r="JLM8" s="450"/>
      <c r="JLN8" s="1857"/>
      <c r="JLO8" s="1857"/>
      <c r="JLP8" s="1857"/>
      <c r="JLQ8" s="1857"/>
      <c r="JLR8" s="1857"/>
      <c r="JLS8" s="1857"/>
      <c r="JLT8" s="1857"/>
      <c r="JLU8" s="1857"/>
      <c r="JLV8" s="1857"/>
      <c r="JLW8" s="1857"/>
      <c r="JLX8" s="1857"/>
      <c r="JLY8" s="1857"/>
      <c r="JLZ8" s="1857"/>
      <c r="JMA8" s="454"/>
      <c r="JMB8" s="1858"/>
      <c r="JMC8" s="449"/>
      <c r="JMD8" s="449"/>
      <c r="JME8" s="449"/>
      <c r="JMF8" s="460"/>
      <c r="JMG8" s="460"/>
      <c r="JMH8" s="460"/>
      <c r="JMI8" s="460"/>
      <c r="JMJ8" s="460"/>
      <c r="JMK8" s="460"/>
      <c r="JML8" s="450"/>
      <c r="JMM8" s="1857"/>
      <c r="JMN8" s="1857"/>
      <c r="JMO8" s="1857"/>
      <c r="JMP8" s="1857"/>
      <c r="JMQ8" s="1857"/>
      <c r="JMR8" s="1857"/>
      <c r="JMS8" s="1857"/>
      <c r="JMT8" s="1857"/>
      <c r="JMU8" s="1857"/>
      <c r="JMV8" s="1857"/>
      <c r="JMW8" s="1857"/>
      <c r="JMX8" s="1857"/>
      <c r="JMY8" s="1857"/>
      <c r="JMZ8" s="454"/>
      <c r="JNA8" s="1858"/>
      <c r="JNB8" s="449"/>
      <c r="JNC8" s="449"/>
      <c r="JND8" s="449"/>
      <c r="JNE8" s="460"/>
      <c r="JNF8" s="460"/>
      <c r="JNG8" s="460"/>
      <c r="JNH8" s="460"/>
      <c r="JNI8" s="460"/>
      <c r="JNJ8" s="460"/>
      <c r="JNK8" s="450"/>
      <c r="JNL8" s="1857"/>
      <c r="JNM8" s="1857"/>
      <c r="JNN8" s="1857"/>
      <c r="JNO8" s="1857"/>
      <c r="JNP8" s="1857"/>
      <c r="JNQ8" s="1857"/>
      <c r="JNR8" s="1857"/>
      <c r="JNS8" s="1857"/>
      <c r="JNT8" s="1857"/>
      <c r="JNU8" s="1857"/>
      <c r="JNV8" s="1857"/>
      <c r="JNW8" s="1857"/>
      <c r="JNX8" s="1857"/>
      <c r="JNY8" s="454"/>
      <c r="JNZ8" s="1858"/>
      <c r="JOA8" s="449"/>
      <c r="JOB8" s="449"/>
      <c r="JOC8" s="449"/>
      <c r="JOD8" s="460"/>
      <c r="JOE8" s="460"/>
      <c r="JOF8" s="460"/>
      <c r="JOG8" s="460"/>
      <c r="JOH8" s="460"/>
      <c r="JOI8" s="460"/>
      <c r="JOJ8" s="450"/>
      <c r="JOK8" s="1857"/>
      <c r="JOL8" s="1857"/>
      <c r="JOM8" s="1857"/>
      <c r="JON8" s="1857"/>
      <c r="JOO8" s="1857"/>
      <c r="JOP8" s="1857"/>
      <c r="JOQ8" s="1857"/>
      <c r="JOR8" s="1857"/>
      <c r="JOS8" s="1857"/>
      <c r="JOT8" s="1857"/>
      <c r="JOU8" s="1857"/>
      <c r="JOV8" s="1857"/>
      <c r="JOW8" s="1857"/>
      <c r="JOX8" s="454"/>
      <c r="JOY8" s="1858"/>
      <c r="JOZ8" s="449"/>
      <c r="JPA8" s="449"/>
      <c r="JPB8" s="449"/>
      <c r="JPC8" s="460"/>
      <c r="JPD8" s="460"/>
      <c r="JPE8" s="460"/>
      <c r="JPF8" s="460"/>
      <c r="JPG8" s="460"/>
      <c r="JPH8" s="460"/>
      <c r="JPI8" s="450"/>
      <c r="JPJ8" s="1857"/>
      <c r="JPK8" s="1857"/>
      <c r="JPL8" s="1857"/>
      <c r="JPM8" s="1857"/>
      <c r="JPN8" s="1857"/>
      <c r="JPO8" s="1857"/>
      <c r="JPP8" s="1857"/>
      <c r="JPQ8" s="1857"/>
      <c r="JPR8" s="1857"/>
      <c r="JPS8" s="1857"/>
      <c r="JPT8" s="1857"/>
      <c r="JPU8" s="1857"/>
      <c r="JPV8" s="1857"/>
      <c r="JPW8" s="454"/>
      <c r="JPX8" s="1858"/>
      <c r="JPY8" s="449"/>
      <c r="JPZ8" s="449"/>
      <c r="JQA8" s="449"/>
      <c r="JQB8" s="460"/>
      <c r="JQC8" s="460"/>
      <c r="JQD8" s="460"/>
      <c r="JQE8" s="460"/>
      <c r="JQF8" s="460"/>
      <c r="JQG8" s="460"/>
      <c r="JQH8" s="450"/>
      <c r="JQI8" s="1857"/>
      <c r="JQJ8" s="1857"/>
      <c r="JQK8" s="1857"/>
      <c r="JQL8" s="1857"/>
      <c r="JQM8" s="1857"/>
      <c r="JQN8" s="1857"/>
      <c r="JQO8" s="1857"/>
      <c r="JQP8" s="1857"/>
      <c r="JQQ8" s="1857"/>
      <c r="JQR8" s="1857"/>
      <c r="JQS8" s="1857"/>
      <c r="JQT8" s="1857"/>
      <c r="JQU8" s="1857"/>
      <c r="JQV8" s="454"/>
      <c r="JQW8" s="1858"/>
      <c r="JQX8" s="449"/>
      <c r="JQY8" s="449"/>
      <c r="JQZ8" s="449"/>
      <c r="JRA8" s="460"/>
      <c r="JRB8" s="460"/>
      <c r="JRC8" s="460"/>
      <c r="JRD8" s="460"/>
      <c r="JRE8" s="460"/>
      <c r="JRF8" s="460"/>
      <c r="JRG8" s="450"/>
      <c r="JRH8" s="1857"/>
      <c r="JRI8" s="1857"/>
      <c r="JRJ8" s="1857"/>
      <c r="JRK8" s="1857"/>
      <c r="JRL8" s="1857"/>
      <c r="JRM8" s="1857"/>
      <c r="JRN8" s="1857"/>
      <c r="JRO8" s="1857"/>
      <c r="JRP8" s="1857"/>
      <c r="JRQ8" s="1857"/>
      <c r="JRR8" s="1857"/>
      <c r="JRS8" s="1857"/>
      <c r="JRT8" s="1857"/>
      <c r="JRU8" s="454"/>
      <c r="JRV8" s="1858"/>
      <c r="JRW8" s="449"/>
      <c r="JRX8" s="449"/>
      <c r="JRY8" s="449"/>
      <c r="JRZ8" s="460"/>
      <c r="JSA8" s="460"/>
      <c r="JSB8" s="460"/>
      <c r="JSC8" s="460"/>
      <c r="JSD8" s="460"/>
      <c r="JSE8" s="460"/>
      <c r="JSF8" s="450"/>
      <c r="JSG8" s="1857"/>
      <c r="JSH8" s="1857"/>
      <c r="JSI8" s="1857"/>
      <c r="JSJ8" s="1857"/>
      <c r="JSK8" s="1857"/>
      <c r="JSL8" s="1857"/>
      <c r="JSM8" s="1857"/>
      <c r="JSN8" s="1857"/>
      <c r="JSO8" s="1857"/>
      <c r="JSP8" s="1857"/>
      <c r="JSQ8" s="1857"/>
      <c r="JSR8" s="1857"/>
      <c r="JSS8" s="1857"/>
      <c r="JST8" s="454"/>
      <c r="JSU8" s="1858"/>
      <c r="JSV8" s="449"/>
      <c r="JSW8" s="449"/>
      <c r="JSX8" s="449"/>
      <c r="JSY8" s="460"/>
      <c r="JSZ8" s="460"/>
      <c r="JTA8" s="460"/>
      <c r="JTB8" s="460"/>
      <c r="JTC8" s="460"/>
      <c r="JTD8" s="460"/>
      <c r="JTE8" s="450"/>
      <c r="JTF8" s="1857"/>
      <c r="JTG8" s="1857"/>
      <c r="JTH8" s="1857"/>
      <c r="JTI8" s="1857"/>
      <c r="JTJ8" s="1857"/>
      <c r="JTK8" s="1857"/>
      <c r="JTL8" s="1857"/>
      <c r="JTM8" s="1857"/>
      <c r="JTN8" s="1857"/>
      <c r="JTO8" s="1857"/>
      <c r="JTP8" s="1857"/>
      <c r="JTQ8" s="1857"/>
      <c r="JTR8" s="1857"/>
      <c r="JTS8" s="454"/>
      <c r="JTT8" s="1858"/>
      <c r="JTU8" s="449"/>
      <c r="JTV8" s="449"/>
      <c r="JTW8" s="449"/>
      <c r="JTX8" s="460"/>
      <c r="JTY8" s="460"/>
      <c r="JTZ8" s="460"/>
      <c r="JUA8" s="460"/>
      <c r="JUB8" s="460"/>
      <c r="JUC8" s="460"/>
      <c r="JUD8" s="450"/>
      <c r="JUE8" s="1857"/>
      <c r="JUF8" s="1857"/>
      <c r="JUG8" s="1857"/>
      <c r="JUH8" s="1857"/>
      <c r="JUI8" s="1857"/>
      <c r="JUJ8" s="1857"/>
      <c r="JUK8" s="1857"/>
      <c r="JUL8" s="1857"/>
      <c r="JUM8" s="1857"/>
      <c r="JUN8" s="1857"/>
      <c r="JUO8" s="1857"/>
      <c r="JUP8" s="1857"/>
      <c r="JUQ8" s="1857"/>
      <c r="JUR8" s="454"/>
      <c r="JUS8" s="1858"/>
      <c r="JUT8" s="449"/>
      <c r="JUU8" s="449"/>
      <c r="JUV8" s="449"/>
      <c r="JUW8" s="460"/>
      <c r="JUX8" s="460"/>
      <c r="JUY8" s="460"/>
      <c r="JUZ8" s="460"/>
      <c r="JVA8" s="460"/>
      <c r="JVB8" s="460"/>
      <c r="JVC8" s="450"/>
      <c r="JVD8" s="1857"/>
      <c r="JVE8" s="1857"/>
      <c r="JVF8" s="1857"/>
      <c r="JVG8" s="1857"/>
      <c r="JVH8" s="1857"/>
      <c r="JVI8" s="1857"/>
      <c r="JVJ8" s="1857"/>
      <c r="JVK8" s="1857"/>
      <c r="JVL8" s="1857"/>
      <c r="JVM8" s="1857"/>
      <c r="JVN8" s="1857"/>
      <c r="JVO8" s="1857"/>
      <c r="JVP8" s="1857"/>
      <c r="JVQ8" s="454"/>
      <c r="JVR8" s="1858"/>
      <c r="JVS8" s="449"/>
      <c r="JVT8" s="449"/>
      <c r="JVU8" s="449"/>
      <c r="JVV8" s="460"/>
      <c r="JVW8" s="460"/>
      <c r="JVX8" s="460"/>
      <c r="JVY8" s="460"/>
      <c r="JVZ8" s="460"/>
      <c r="JWA8" s="460"/>
      <c r="JWB8" s="450"/>
      <c r="JWC8" s="1857"/>
      <c r="JWD8" s="1857"/>
      <c r="JWE8" s="1857"/>
      <c r="JWF8" s="1857"/>
      <c r="JWG8" s="1857"/>
      <c r="JWH8" s="1857"/>
      <c r="JWI8" s="1857"/>
      <c r="JWJ8" s="1857"/>
      <c r="JWK8" s="1857"/>
      <c r="JWL8" s="1857"/>
      <c r="JWM8" s="1857"/>
      <c r="JWN8" s="1857"/>
      <c r="JWO8" s="1857"/>
      <c r="JWP8" s="454"/>
      <c r="JWQ8" s="1858"/>
      <c r="JWR8" s="449"/>
      <c r="JWS8" s="449"/>
      <c r="JWT8" s="449"/>
      <c r="JWU8" s="460"/>
      <c r="JWV8" s="460"/>
      <c r="JWW8" s="460"/>
      <c r="JWX8" s="460"/>
      <c r="JWY8" s="460"/>
      <c r="JWZ8" s="460"/>
      <c r="JXA8" s="450"/>
      <c r="JXB8" s="1857"/>
      <c r="JXC8" s="1857"/>
      <c r="JXD8" s="1857"/>
      <c r="JXE8" s="1857"/>
      <c r="JXF8" s="1857"/>
      <c r="JXG8" s="1857"/>
      <c r="JXH8" s="1857"/>
      <c r="JXI8" s="1857"/>
      <c r="JXJ8" s="1857"/>
      <c r="JXK8" s="1857"/>
      <c r="JXL8" s="1857"/>
      <c r="JXM8" s="1857"/>
      <c r="JXN8" s="1857"/>
      <c r="JXO8" s="454"/>
      <c r="JXP8" s="1858"/>
      <c r="JXQ8" s="449"/>
      <c r="JXR8" s="449"/>
      <c r="JXS8" s="449"/>
      <c r="JXT8" s="460"/>
      <c r="JXU8" s="460"/>
      <c r="JXV8" s="460"/>
      <c r="JXW8" s="460"/>
      <c r="JXX8" s="460"/>
      <c r="JXY8" s="460"/>
      <c r="JXZ8" s="450"/>
      <c r="JYA8" s="1857"/>
      <c r="JYB8" s="1857"/>
      <c r="JYC8" s="1857"/>
      <c r="JYD8" s="1857"/>
      <c r="JYE8" s="1857"/>
      <c r="JYF8" s="1857"/>
      <c r="JYG8" s="1857"/>
      <c r="JYH8" s="1857"/>
      <c r="JYI8" s="1857"/>
      <c r="JYJ8" s="1857"/>
      <c r="JYK8" s="1857"/>
      <c r="JYL8" s="1857"/>
      <c r="JYM8" s="1857"/>
      <c r="JYN8" s="454"/>
      <c r="JYO8" s="1858"/>
      <c r="JYP8" s="449"/>
      <c r="JYQ8" s="449"/>
      <c r="JYR8" s="449"/>
      <c r="JYS8" s="460"/>
      <c r="JYT8" s="460"/>
      <c r="JYU8" s="460"/>
      <c r="JYV8" s="460"/>
      <c r="JYW8" s="460"/>
      <c r="JYX8" s="460"/>
      <c r="JYY8" s="450"/>
      <c r="JYZ8" s="1857"/>
      <c r="JZA8" s="1857"/>
      <c r="JZB8" s="1857"/>
      <c r="JZC8" s="1857"/>
      <c r="JZD8" s="1857"/>
      <c r="JZE8" s="1857"/>
      <c r="JZF8" s="1857"/>
      <c r="JZG8" s="1857"/>
      <c r="JZH8" s="1857"/>
      <c r="JZI8" s="1857"/>
      <c r="JZJ8" s="1857"/>
      <c r="JZK8" s="1857"/>
      <c r="JZL8" s="1857"/>
      <c r="JZM8" s="454"/>
      <c r="JZN8" s="1858"/>
      <c r="JZO8" s="449"/>
      <c r="JZP8" s="449"/>
      <c r="JZQ8" s="449"/>
      <c r="JZR8" s="460"/>
      <c r="JZS8" s="460"/>
      <c r="JZT8" s="460"/>
      <c r="JZU8" s="460"/>
      <c r="JZV8" s="460"/>
      <c r="JZW8" s="460"/>
      <c r="JZX8" s="450"/>
      <c r="JZY8" s="1857"/>
      <c r="JZZ8" s="1857"/>
      <c r="KAA8" s="1857"/>
      <c r="KAB8" s="1857"/>
      <c r="KAC8" s="1857"/>
      <c r="KAD8" s="1857"/>
      <c r="KAE8" s="1857"/>
      <c r="KAF8" s="1857"/>
      <c r="KAG8" s="1857"/>
      <c r="KAH8" s="1857"/>
      <c r="KAI8" s="1857"/>
      <c r="KAJ8" s="1857"/>
      <c r="KAK8" s="1857"/>
      <c r="KAL8" s="454"/>
      <c r="KAM8" s="1858"/>
      <c r="KAN8" s="449"/>
      <c r="KAO8" s="449"/>
      <c r="KAP8" s="449"/>
      <c r="KAQ8" s="460"/>
      <c r="KAR8" s="460"/>
      <c r="KAS8" s="460"/>
      <c r="KAT8" s="460"/>
      <c r="KAU8" s="460"/>
      <c r="KAV8" s="460"/>
      <c r="KAW8" s="450"/>
      <c r="KAX8" s="1857"/>
      <c r="KAY8" s="1857"/>
      <c r="KAZ8" s="1857"/>
      <c r="KBA8" s="1857"/>
      <c r="KBB8" s="1857"/>
      <c r="KBC8" s="1857"/>
      <c r="KBD8" s="1857"/>
      <c r="KBE8" s="1857"/>
      <c r="KBF8" s="1857"/>
      <c r="KBG8" s="1857"/>
      <c r="KBH8" s="1857"/>
      <c r="KBI8" s="1857"/>
      <c r="KBJ8" s="1857"/>
      <c r="KBK8" s="454"/>
      <c r="KBL8" s="1858"/>
      <c r="KBM8" s="449"/>
      <c r="KBN8" s="449"/>
      <c r="KBO8" s="449"/>
      <c r="KBP8" s="460"/>
      <c r="KBQ8" s="460"/>
      <c r="KBR8" s="460"/>
      <c r="KBS8" s="460"/>
      <c r="KBT8" s="460"/>
      <c r="KBU8" s="460"/>
      <c r="KBV8" s="450"/>
      <c r="KBW8" s="1857"/>
      <c r="KBX8" s="1857"/>
      <c r="KBY8" s="1857"/>
      <c r="KBZ8" s="1857"/>
      <c r="KCA8" s="1857"/>
      <c r="KCB8" s="1857"/>
      <c r="KCC8" s="1857"/>
      <c r="KCD8" s="1857"/>
      <c r="KCE8" s="1857"/>
      <c r="KCF8" s="1857"/>
      <c r="KCG8" s="1857"/>
      <c r="KCH8" s="1857"/>
      <c r="KCI8" s="1857"/>
      <c r="KCJ8" s="454"/>
      <c r="KCK8" s="1858"/>
      <c r="KCL8" s="449"/>
      <c r="KCM8" s="449"/>
      <c r="KCN8" s="449"/>
      <c r="KCO8" s="460"/>
      <c r="KCP8" s="460"/>
      <c r="KCQ8" s="460"/>
      <c r="KCR8" s="460"/>
      <c r="KCS8" s="460"/>
      <c r="KCT8" s="460"/>
      <c r="KCU8" s="450"/>
      <c r="KCV8" s="1857"/>
      <c r="KCW8" s="1857"/>
      <c r="KCX8" s="1857"/>
      <c r="KCY8" s="1857"/>
      <c r="KCZ8" s="1857"/>
      <c r="KDA8" s="1857"/>
      <c r="KDB8" s="1857"/>
      <c r="KDC8" s="1857"/>
      <c r="KDD8" s="1857"/>
      <c r="KDE8" s="1857"/>
      <c r="KDF8" s="1857"/>
      <c r="KDG8" s="1857"/>
      <c r="KDH8" s="1857"/>
      <c r="KDI8" s="454"/>
      <c r="KDJ8" s="1858"/>
      <c r="KDK8" s="449"/>
      <c r="KDL8" s="449"/>
      <c r="KDM8" s="449"/>
      <c r="KDN8" s="460"/>
      <c r="KDO8" s="460"/>
      <c r="KDP8" s="460"/>
      <c r="KDQ8" s="460"/>
      <c r="KDR8" s="460"/>
      <c r="KDS8" s="460"/>
      <c r="KDT8" s="450"/>
      <c r="KDU8" s="1857"/>
      <c r="KDV8" s="1857"/>
      <c r="KDW8" s="1857"/>
      <c r="KDX8" s="1857"/>
      <c r="KDY8" s="1857"/>
      <c r="KDZ8" s="1857"/>
      <c r="KEA8" s="1857"/>
      <c r="KEB8" s="1857"/>
      <c r="KEC8" s="1857"/>
      <c r="KED8" s="1857"/>
      <c r="KEE8" s="1857"/>
      <c r="KEF8" s="1857"/>
      <c r="KEG8" s="1857"/>
      <c r="KEH8" s="454"/>
      <c r="KEI8" s="1858"/>
      <c r="KEJ8" s="449"/>
      <c r="KEK8" s="449"/>
      <c r="KEL8" s="449"/>
      <c r="KEM8" s="460"/>
      <c r="KEN8" s="460"/>
      <c r="KEO8" s="460"/>
      <c r="KEP8" s="460"/>
      <c r="KEQ8" s="460"/>
      <c r="KER8" s="460"/>
      <c r="KES8" s="450"/>
      <c r="KET8" s="1857"/>
      <c r="KEU8" s="1857"/>
      <c r="KEV8" s="1857"/>
      <c r="KEW8" s="1857"/>
      <c r="KEX8" s="1857"/>
      <c r="KEY8" s="1857"/>
      <c r="KEZ8" s="1857"/>
      <c r="KFA8" s="1857"/>
      <c r="KFB8" s="1857"/>
      <c r="KFC8" s="1857"/>
      <c r="KFD8" s="1857"/>
      <c r="KFE8" s="1857"/>
      <c r="KFF8" s="1857"/>
      <c r="KFG8" s="454"/>
      <c r="KFH8" s="1858"/>
      <c r="KFI8" s="449"/>
      <c r="KFJ8" s="449"/>
      <c r="KFK8" s="449"/>
      <c r="KFL8" s="460"/>
      <c r="KFM8" s="460"/>
      <c r="KFN8" s="460"/>
      <c r="KFO8" s="460"/>
      <c r="KFP8" s="460"/>
      <c r="KFQ8" s="460"/>
      <c r="KFR8" s="450"/>
      <c r="KFS8" s="1857"/>
      <c r="KFT8" s="1857"/>
      <c r="KFU8" s="1857"/>
      <c r="KFV8" s="1857"/>
      <c r="KFW8" s="1857"/>
      <c r="KFX8" s="1857"/>
      <c r="KFY8" s="1857"/>
      <c r="KFZ8" s="1857"/>
      <c r="KGA8" s="1857"/>
      <c r="KGB8" s="1857"/>
      <c r="KGC8" s="1857"/>
      <c r="KGD8" s="1857"/>
      <c r="KGE8" s="1857"/>
      <c r="KGF8" s="454"/>
      <c r="KGG8" s="1858"/>
      <c r="KGH8" s="449"/>
      <c r="KGI8" s="449"/>
      <c r="KGJ8" s="449"/>
      <c r="KGK8" s="460"/>
      <c r="KGL8" s="460"/>
      <c r="KGM8" s="460"/>
      <c r="KGN8" s="460"/>
      <c r="KGO8" s="460"/>
      <c r="KGP8" s="460"/>
      <c r="KGQ8" s="450"/>
      <c r="KGR8" s="1857"/>
      <c r="KGS8" s="1857"/>
      <c r="KGT8" s="1857"/>
      <c r="KGU8" s="1857"/>
      <c r="KGV8" s="1857"/>
      <c r="KGW8" s="1857"/>
      <c r="KGX8" s="1857"/>
      <c r="KGY8" s="1857"/>
      <c r="KGZ8" s="1857"/>
      <c r="KHA8" s="1857"/>
      <c r="KHB8" s="1857"/>
      <c r="KHC8" s="1857"/>
      <c r="KHD8" s="1857"/>
      <c r="KHE8" s="454"/>
      <c r="KHF8" s="1858"/>
      <c r="KHG8" s="449"/>
      <c r="KHH8" s="449"/>
      <c r="KHI8" s="449"/>
      <c r="KHJ8" s="460"/>
      <c r="KHK8" s="460"/>
      <c r="KHL8" s="460"/>
      <c r="KHM8" s="460"/>
      <c r="KHN8" s="460"/>
      <c r="KHO8" s="460"/>
      <c r="KHP8" s="450"/>
      <c r="KHQ8" s="1857"/>
      <c r="KHR8" s="1857"/>
      <c r="KHS8" s="1857"/>
      <c r="KHT8" s="1857"/>
      <c r="KHU8" s="1857"/>
      <c r="KHV8" s="1857"/>
      <c r="KHW8" s="1857"/>
      <c r="KHX8" s="1857"/>
      <c r="KHY8" s="1857"/>
      <c r="KHZ8" s="1857"/>
      <c r="KIA8" s="1857"/>
      <c r="KIB8" s="1857"/>
      <c r="KIC8" s="1857"/>
      <c r="KID8" s="454"/>
      <c r="KIE8" s="1858"/>
      <c r="KIF8" s="449"/>
      <c r="KIG8" s="449"/>
      <c r="KIH8" s="449"/>
      <c r="KII8" s="460"/>
      <c r="KIJ8" s="460"/>
      <c r="KIK8" s="460"/>
      <c r="KIL8" s="460"/>
      <c r="KIM8" s="460"/>
      <c r="KIN8" s="460"/>
      <c r="KIO8" s="450"/>
      <c r="KIP8" s="1857"/>
      <c r="KIQ8" s="1857"/>
      <c r="KIR8" s="1857"/>
      <c r="KIS8" s="1857"/>
      <c r="KIT8" s="1857"/>
      <c r="KIU8" s="1857"/>
      <c r="KIV8" s="1857"/>
      <c r="KIW8" s="1857"/>
      <c r="KIX8" s="1857"/>
      <c r="KIY8" s="1857"/>
      <c r="KIZ8" s="1857"/>
      <c r="KJA8" s="1857"/>
      <c r="KJB8" s="1857"/>
      <c r="KJC8" s="454"/>
      <c r="KJD8" s="1858"/>
      <c r="KJE8" s="449"/>
      <c r="KJF8" s="449"/>
      <c r="KJG8" s="449"/>
      <c r="KJH8" s="460"/>
      <c r="KJI8" s="460"/>
      <c r="KJJ8" s="460"/>
      <c r="KJK8" s="460"/>
      <c r="KJL8" s="460"/>
      <c r="KJM8" s="460"/>
      <c r="KJN8" s="450"/>
      <c r="KJO8" s="1857"/>
      <c r="KJP8" s="1857"/>
      <c r="KJQ8" s="1857"/>
      <c r="KJR8" s="1857"/>
      <c r="KJS8" s="1857"/>
      <c r="KJT8" s="1857"/>
      <c r="KJU8" s="1857"/>
      <c r="KJV8" s="1857"/>
      <c r="KJW8" s="1857"/>
      <c r="KJX8" s="1857"/>
      <c r="KJY8" s="1857"/>
      <c r="KJZ8" s="1857"/>
      <c r="KKA8" s="1857"/>
      <c r="KKB8" s="454"/>
      <c r="KKC8" s="1858"/>
      <c r="KKD8" s="449"/>
      <c r="KKE8" s="449"/>
      <c r="KKF8" s="449"/>
      <c r="KKG8" s="460"/>
      <c r="KKH8" s="460"/>
      <c r="KKI8" s="460"/>
      <c r="KKJ8" s="460"/>
      <c r="KKK8" s="460"/>
      <c r="KKL8" s="460"/>
      <c r="KKM8" s="450"/>
      <c r="KKN8" s="1857"/>
      <c r="KKO8" s="1857"/>
      <c r="KKP8" s="1857"/>
      <c r="KKQ8" s="1857"/>
      <c r="KKR8" s="1857"/>
      <c r="KKS8" s="1857"/>
      <c r="KKT8" s="1857"/>
      <c r="KKU8" s="1857"/>
      <c r="KKV8" s="1857"/>
      <c r="KKW8" s="1857"/>
      <c r="KKX8" s="1857"/>
      <c r="KKY8" s="1857"/>
      <c r="KKZ8" s="1857"/>
      <c r="KLA8" s="454"/>
      <c r="KLB8" s="1858"/>
      <c r="KLC8" s="449"/>
      <c r="KLD8" s="449"/>
      <c r="KLE8" s="449"/>
      <c r="KLF8" s="460"/>
      <c r="KLG8" s="460"/>
      <c r="KLH8" s="460"/>
      <c r="KLI8" s="460"/>
      <c r="KLJ8" s="460"/>
      <c r="KLK8" s="460"/>
      <c r="KLL8" s="450"/>
      <c r="KLM8" s="1857"/>
      <c r="KLN8" s="1857"/>
      <c r="KLO8" s="1857"/>
      <c r="KLP8" s="1857"/>
      <c r="KLQ8" s="1857"/>
      <c r="KLR8" s="1857"/>
      <c r="KLS8" s="1857"/>
      <c r="KLT8" s="1857"/>
      <c r="KLU8" s="1857"/>
      <c r="KLV8" s="1857"/>
      <c r="KLW8" s="1857"/>
      <c r="KLX8" s="1857"/>
      <c r="KLY8" s="1857"/>
      <c r="KLZ8" s="454"/>
      <c r="KMA8" s="1858"/>
      <c r="KMB8" s="449"/>
      <c r="KMC8" s="449"/>
      <c r="KMD8" s="449"/>
      <c r="KME8" s="460"/>
      <c r="KMF8" s="460"/>
      <c r="KMG8" s="460"/>
      <c r="KMH8" s="460"/>
      <c r="KMI8" s="460"/>
      <c r="KMJ8" s="460"/>
      <c r="KMK8" s="450"/>
      <c r="KML8" s="1857"/>
      <c r="KMM8" s="1857"/>
      <c r="KMN8" s="1857"/>
      <c r="KMO8" s="1857"/>
      <c r="KMP8" s="1857"/>
      <c r="KMQ8" s="1857"/>
      <c r="KMR8" s="1857"/>
      <c r="KMS8" s="1857"/>
      <c r="KMT8" s="1857"/>
      <c r="KMU8" s="1857"/>
      <c r="KMV8" s="1857"/>
      <c r="KMW8" s="1857"/>
      <c r="KMX8" s="1857"/>
      <c r="KMY8" s="454"/>
      <c r="KMZ8" s="1858"/>
      <c r="KNA8" s="449"/>
      <c r="KNB8" s="449"/>
      <c r="KNC8" s="449"/>
      <c r="KND8" s="460"/>
      <c r="KNE8" s="460"/>
      <c r="KNF8" s="460"/>
      <c r="KNG8" s="460"/>
      <c r="KNH8" s="460"/>
      <c r="KNI8" s="460"/>
      <c r="KNJ8" s="450"/>
      <c r="KNK8" s="1857"/>
      <c r="KNL8" s="1857"/>
      <c r="KNM8" s="1857"/>
      <c r="KNN8" s="1857"/>
      <c r="KNO8" s="1857"/>
      <c r="KNP8" s="1857"/>
      <c r="KNQ8" s="1857"/>
      <c r="KNR8" s="1857"/>
      <c r="KNS8" s="1857"/>
      <c r="KNT8" s="1857"/>
      <c r="KNU8" s="1857"/>
      <c r="KNV8" s="1857"/>
      <c r="KNW8" s="1857"/>
      <c r="KNX8" s="454"/>
      <c r="KNY8" s="1858"/>
      <c r="KNZ8" s="449"/>
      <c r="KOA8" s="449"/>
      <c r="KOB8" s="449"/>
      <c r="KOC8" s="460"/>
      <c r="KOD8" s="460"/>
      <c r="KOE8" s="460"/>
      <c r="KOF8" s="460"/>
      <c r="KOG8" s="460"/>
      <c r="KOH8" s="460"/>
      <c r="KOI8" s="450"/>
      <c r="KOJ8" s="1857"/>
      <c r="KOK8" s="1857"/>
      <c r="KOL8" s="1857"/>
      <c r="KOM8" s="1857"/>
      <c r="KON8" s="1857"/>
      <c r="KOO8" s="1857"/>
      <c r="KOP8" s="1857"/>
      <c r="KOQ8" s="1857"/>
      <c r="KOR8" s="1857"/>
      <c r="KOS8" s="1857"/>
      <c r="KOT8" s="1857"/>
      <c r="KOU8" s="1857"/>
      <c r="KOV8" s="1857"/>
      <c r="KOW8" s="454"/>
      <c r="KOX8" s="1858"/>
      <c r="KOY8" s="449"/>
      <c r="KOZ8" s="449"/>
      <c r="KPA8" s="449"/>
      <c r="KPB8" s="460"/>
      <c r="KPC8" s="460"/>
      <c r="KPD8" s="460"/>
      <c r="KPE8" s="460"/>
      <c r="KPF8" s="460"/>
      <c r="KPG8" s="460"/>
      <c r="KPH8" s="450"/>
      <c r="KPI8" s="1857"/>
      <c r="KPJ8" s="1857"/>
      <c r="KPK8" s="1857"/>
      <c r="KPL8" s="1857"/>
      <c r="KPM8" s="1857"/>
      <c r="KPN8" s="1857"/>
      <c r="KPO8" s="1857"/>
      <c r="KPP8" s="1857"/>
      <c r="KPQ8" s="1857"/>
      <c r="KPR8" s="1857"/>
      <c r="KPS8" s="1857"/>
      <c r="KPT8" s="1857"/>
      <c r="KPU8" s="1857"/>
      <c r="KPV8" s="454"/>
      <c r="KPW8" s="1858"/>
      <c r="KPX8" s="449"/>
      <c r="KPY8" s="449"/>
      <c r="KPZ8" s="449"/>
      <c r="KQA8" s="460"/>
      <c r="KQB8" s="460"/>
      <c r="KQC8" s="460"/>
      <c r="KQD8" s="460"/>
      <c r="KQE8" s="460"/>
      <c r="KQF8" s="460"/>
      <c r="KQG8" s="450"/>
      <c r="KQH8" s="1857"/>
      <c r="KQI8" s="1857"/>
      <c r="KQJ8" s="1857"/>
      <c r="KQK8" s="1857"/>
      <c r="KQL8" s="1857"/>
      <c r="KQM8" s="1857"/>
      <c r="KQN8" s="1857"/>
      <c r="KQO8" s="1857"/>
      <c r="KQP8" s="1857"/>
      <c r="KQQ8" s="1857"/>
      <c r="KQR8" s="1857"/>
      <c r="KQS8" s="1857"/>
      <c r="KQT8" s="1857"/>
      <c r="KQU8" s="454"/>
      <c r="KQV8" s="1858"/>
      <c r="KQW8" s="449"/>
      <c r="KQX8" s="449"/>
      <c r="KQY8" s="449"/>
      <c r="KQZ8" s="460"/>
      <c r="KRA8" s="460"/>
      <c r="KRB8" s="460"/>
      <c r="KRC8" s="460"/>
      <c r="KRD8" s="460"/>
      <c r="KRE8" s="460"/>
      <c r="KRF8" s="450"/>
      <c r="KRG8" s="1857"/>
      <c r="KRH8" s="1857"/>
      <c r="KRI8" s="1857"/>
      <c r="KRJ8" s="1857"/>
      <c r="KRK8" s="1857"/>
      <c r="KRL8" s="1857"/>
      <c r="KRM8" s="1857"/>
      <c r="KRN8" s="1857"/>
      <c r="KRO8" s="1857"/>
      <c r="KRP8" s="1857"/>
      <c r="KRQ8" s="1857"/>
      <c r="KRR8" s="1857"/>
      <c r="KRS8" s="1857"/>
      <c r="KRT8" s="454"/>
      <c r="KRU8" s="1858"/>
      <c r="KRV8" s="449"/>
      <c r="KRW8" s="449"/>
      <c r="KRX8" s="449"/>
      <c r="KRY8" s="460"/>
      <c r="KRZ8" s="460"/>
      <c r="KSA8" s="460"/>
      <c r="KSB8" s="460"/>
      <c r="KSC8" s="460"/>
      <c r="KSD8" s="460"/>
      <c r="KSE8" s="450"/>
      <c r="KSF8" s="1857"/>
      <c r="KSG8" s="1857"/>
      <c r="KSH8" s="1857"/>
      <c r="KSI8" s="1857"/>
      <c r="KSJ8" s="1857"/>
      <c r="KSK8" s="1857"/>
      <c r="KSL8" s="1857"/>
      <c r="KSM8" s="1857"/>
      <c r="KSN8" s="1857"/>
      <c r="KSO8" s="1857"/>
      <c r="KSP8" s="1857"/>
      <c r="KSQ8" s="1857"/>
      <c r="KSR8" s="1857"/>
      <c r="KSS8" s="454"/>
      <c r="KST8" s="1858"/>
      <c r="KSU8" s="449"/>
      <c r="KSV8" s="449"/>
      <c r="KSW8" s="449"/>
      <c r="KSX8" s="460"/>
      <c r="KSY8" s="460"/>
      <c r="KSZ8" s="460"/>
      <c r="KTA8" s="460"/>
      <c r="KTB8" s="460"/>
      <c r="KTC8" s="460"/>
      <c r="KTD8" s="450"/>
      <c r="KTE8" s="1857"/>
      <c r="KTF8" s="1857"/>
      <c r="KTG8" s="1857"/>
      <c r="KTH8" s="1857"/>
      <c r="KTI8" s="1857"/>
      <c r="KTJ8" s="1857"/>
      <c r="KTK8" s="1857"/>
      <c r="KTL8" s="1857"/>
      <c r="KTM8" s="1857"/>
      <c r="KTN8" s="1857"/>
      <c r="KTO8" s="1857"/>
      <c r="KTP8" s="1857"/>
      <c r="KTQ8" s="1857"/>
      <c r="KTR8" s="454"/>
      <c r="KTS8" s="1858"/>
      <c r="KTT8" s="449"/>
      <c r="KTU8" s="449"/>
      <c r="KTV8" s="449"/>
      <c r="KTW8" s="460"/>
      <c r="KTX8" s="460"/>
      <c r="KTY8" s="460"/>
      <c r="KTZ8" s="460"/>
      <c r="KUA8" s="460"/>
      <c r="KUB8" s="460"/>
      <c r="KUC8" s="450"/>
      <c r="KUD8" s="1857"/>
      <c r="KUE8" s="1857"/>
      <c r="KUF8" s="1857"/>
      <c r="KUG8" s="1857"/>
      <c r="KUH8" s="1857"/>
      <c r="KUI8" s="1857"/>
      <c r="KUJ8" s="1857"/>
      <c r="KUK8" s="1857"/>
      <c r="KUL8" s="1857"/>
      <c r="KUM8" s="1857"/>
      <c r="KUN8" s="1857"/>
      <c r="KUO8" s="1857"/>
      <c r="KUP8" s="1857"/>
      <c r="KUQ8" s="454"/>
      <c r="KUR8" s="1858"/>
      <c r="KUS8" s="449"/>
      <c r="KUT8" s="449"/>
      <c r="KUU8" s="449"/>
      <c r="KUV8" s="460"/>
      <c r="KUW8" s="460"/>
      <c r="KUX8" s="460"/>
      <c r="KUY8" s="460"/>
      <c r="KUZ8" s="460"/>
      <c r="KVA8" s="460"/>
      <c r="KVB8" s="450"/>
      <c r="KVC8" s="1857"/>
      <c r="KVD8" s="1857"/>
      <c r="KVE8" s="1857"/>
      <c r="KVF8" s="1857"/>
      <c r="KVG8" s="1857"/>
      <c r="KVH8" s="1857"/>
      <c r="KVI8" s="1857"/>
      <c r="KVJ8" s="1857"/>
      <c r="KVK8" s="1857"/>
      <c r="KVL8" s="1857"/>
      <c r="KVM8" s="1857"/>
      <c r="KVN8" s="1857"/>
      <c r="KVO8" s="1857"/>
      <c r="KVP8" s="454"/>
      <c r="KVQ8" s="1858"/>
      <c r="KVR8" s="449"/>
      <c r="KVS8" s="449"/>
      <c r="KVT8" s="449"/>
      <c r="KVU8" s="460"/>
      <c r="KVV8" s="460"/>
      <c r="KVW8" s="460"/>
      <c r="KVX8" s="460"/>
      <c r="KVY8" s="460"/>
      <c r="KVZ8" s="460"/>
      <c r="KWA8" s="450"/>
      <c r="KWB8" s="1857"/>
      <c r="KWC8" s="1857"/>
      <c r="KWD8" s="1857"/>
      <c r="KWE8" s="1857"/>
      <c r="KWF8" s="1857"/>
      <c r="KWG8" s="1857"/>
      <c r="KWH8" s="1857"/>
      <c r="KWI8" s="1857"/>
      <c r="KWJ8" s="1857"/>
      <c r="KWK8" s="1857"/>
      <c r="KWL8" s="1857"/>
      <c r="KWM8" s="1857"/>
      <c r="KWN8" s="1857"/>
      <c r="KWO8" s="454"/>
      <c r="KWP8" s="1858"/>
      <c r="KWQ8" s="449"/>
      <c r="KWR8" s="449"/>
      <c r="KWS8" s="449"/>
      <c r="KWT8" s="460"/>
      <c r="KWU8" s="460"/>
      <c r="KWV8" s="460"/>
      <c r="KWW8" s="460"/>
      <c r="KWX8" s="460"/>
      <c r="KWY8" s="460"/>
      <c r="KWZ8" s="450"/>
      <c r="KXA8" s="1857"/>
      <c r="KXB8" s="1857"/>
      <c r="KXC8" s="1857"/>
      <c r="KXD8" s="1857"/>
      <c r="KXE8" s="1857"/>
      <c r="KXF8" s="1857"/>
      <c r="KXG8" s="1857"/>
      <c r="KXH8" s="1857"/>
      <c r="KXI8" s="1857"/>
      <c r="KXJ8" s="1857"/>
      <c r="KXK8" s="1857"/>
      <c r="KXL8" s="1857"/>
      <c r="KXM8" s="1857"/>
      <c r="KXN8" s="454"/>
      <c r="KXO8" s="1858"/>
      <c r="KXP8" s="449"/>
      <c r="KXQ8" s="449"/>
      <c r="KXR8" s="449"/>
      <c r="KXS8" s="460"/>
      <c r="KXT8" s="460"/>
      <c r="KXU8" s="460"/>
      <c r="KXV8" s="460"/>
      <c r="KXW8" s="460"/>
      <c r="KXX8" s="460"/>
      <c r="KXY8" s="450"/>
      <c r="KXZ8" s="1857"/>
      <c r="KYA8" s="1857"/>
      <c r="KYB8" s="1857"/>
      <c r="KYC8" s="1857"/>
      <c r="KYD8" s="1857"/>
      <c r="KYE8" s="1857"/>
      <c r="KYF8" s="1857"/>
      <c r="KYG8" s="1857"/>
      <c r="KYH8" s="1857"/>
      <c r="KYI8" s="1857"/>
      <c r="KYJ8" s="1857"/>
      <c r="KYK8" s="1857"/>
      <c r="KYL8" s="1857"/>
      <c r="KYM8" s="454"/>
      <c r="KYN8" s="1858"/>
      <c r="KYO8" s="449"/>
      <c r="KYP8" s="449"/>
      <c r="KYQ8" s="449"/>
      <c r="KYR8" s="460"/>
      <c r="KYS8" s="460"/>
      <c r="KYT8" s="460"/>
      <c r="KYU8" s="460"/>
      <c r="KYV8" s="460"/>
      <c r="KYW8" s="460"/>
      <c r="KYX8" s="450"/>
      <c r="KYY8" s="1857"/>
      <c r="KYZ8" s="1857"/>
      <c r="KZA8" s="1857"/>
      <c r="KZB8" s="1857"/>
      <c r="KZC8" s="1857"/>
      <c r="KZD8" s="1857"/>
      <c r="KZE8" s="1857"/>
      <c r="KZF8" s="1857"/>
      <c r="KZG8" s="1857"/>
      <c r="KZH8" s="1857"/>
      <c r="KZI8" s="1857"/>
      <c r="KZJ8" s="1857"/>
      <c r="KZK8" s="1857"/>
      <c r="KZL8" s="454"/>
      <c r="KZM8" s="1858"/>
      <c r="KZN8" s="449"/>
      <c r="KZO8" s="449"/>
      <c r="KZP8" s="449"/>
      <c r="KZQ8" s="460"/>
      <c r="KZR8" s="460"/>
      <c r="KZS8" s="460"/>
      <c r="KZT8" s="460"/>
      <c r="KZU8" s="460"/>
      <c r="KZV8" s="460"/>
      <c r="KZW8" s="450"/>
      <c r="KZX8" s="1857"/>
      <c r="KZY8" s="1857"/>
      <c r="KZZ8" s="1857"/>
      <c r="LAA8" s="1857"/>
      <c r="LAB8" s="1857"/>
      <c r="LAC8" s="1857"/>
      <c r="LAD8" s="1857"/>
      <c r="LAE8" s="1857"/>
      <c r="LAF8" s="1857"/>
      <c r="LAG8" s="1857"/>
      <c r="LAH8" s="1857"/>
      <c r="LAI8" s="1857"/>
      <c r="LAJ8" s="1857"/>
      <c r="LAK8" s="454"/>
      <c r="LAL8" s="1858"/>
      <c r="LAM8" s="449"/>
      <c r="LAN8" s="449"/>
      <c r="LAO8" s="449"/>
      <c r="LAP8" s="460"/>
      <c r="LAQ8" s="460"/>
      <c r="LAR8" s="460"/>
      <c r="LAS8" s="460"/>
      <c r="LAT8" s="460"/>
      <c r="LAU8" s="460"/>
      <c r="LAV8" s="450"/>
      <c r="LAW8" s="1857"/>
      <c r="LAX8" s="1857"/>
      <c r="LAY8" s="1857"/>
      <c r="LAZ8" s="1857"/>
      <c r="LBA8" s="1857"/>
      <c r="LBB8" s="1857"/>
      <c r="LBC8" s="1857"/>
      <c r="LBD8" s="1857"/>
      <c r="LBE8" s="1857"/>
      <c r="LBF8" s="1857"/>
      <c r="LBG8" s="1857"/>
      <c r="LBH8" s="1857"/>
      <c r="LBI8" s="1857"/>
      <c r="LBJ8" s="454"/>
      <c r="LBK8" s="1858"/>
      <c r="LBL8" s="449"/>
      <c r="LBM8" s="449"/>
      <c r="LBN8" s="449"/>
      <c r="LBO8" s="460"/>
      <c r="LBP8" s="460"/>
      <c r="LBQ8" s="460"/>
      <c r="LBR8" s="460"/>
      <c r="LBS8" s="460"/>
      <c r="LBT8" s="460"/>
      <c r="LBU8" s="450"/>
      <c r="LBV8" s="1857"/>
      <c r="LBW8" s="1857"/>
      <c r="LBX8" s="1857"/>
      <c r="LBY8" s="1857"/>
      <c r="LBZ8" s="1857"/>
      <c r="LCA8" s="1857"/>
      <c r="LCB8" s="1857"/>
      <c r="LCC8" s="1857"/>
      <c r="LCD8" s="1857"/>
      <c r="LCE8" s="1857"/>
      <c r="LCF8" s="1857"/>
      <c r="LCG8" s="1857"/>
      <c r="LCH8" s="1857"/>
      <c r="LCI8" s="454"/>
      <c r="LCJ8" s="1858"/>
      <c r="LCK8" s="449"/>
      <c r="LCL8" s="449"/>
      <c r="LCM8" s="449"/>
      <c r="LCN8" s="460"/>
      <c r="LCO8" s="460"/>
      <c r="LCP8" s="460"/>
      <c r="LCQ8" s="460"/>
      <c r="LCR8" s="460"/>
      <c r="LCS8" s="460"/>
      <c r="LCT8" s="450"/>
      <c r="LCU8" s="1857"/>
      <c r="LCV8" s="1857"/>
      <c r="LCW8" s="1857"/>
      <c r="LCX8" s="1857"/>
      <c r="LCY8" s="1857"/>
      <c r="LCZ8" s="1857"/>
      <c r="LDA8" s="1857"/>
      <c r="LDB8" s="1857"/>
      <c r="LDC8" s="1857"/>
      <c r="LDD8" s="1857"/>
      <c r="LDE8" s="1857"/>
      <c r="LDF8" s="1857"/>
      <c r="LDG8" s="1857"/>
      <c r="LDH8" s="454"/>
      <c r="LDI8" s="1858"/>
      <c r="LDJ8" s="449"/>
      <c r="LDK8" s="449"/>
      <c r="LDL8" s="449"/>
      <c r="LDM8" s="460"/>
      <c r="LDN8" s="460"/>
      <c r="LDO8" s="460"/>
      <c r="LDP8" s="460"/>
      <c r="LDQ8" s="460"/>
      <c r="LDR8" s="460"/>
      <c r="LDS8" s="450"/>
      <c r="LDT8" s="1857"/>
      <c r="LDU8" s="1857"/>
      <c r="LDV8" s="1857"/>
      <c r="LDW8" s="1857"/>
      <c r="LDX8" s="1857"/>
      <c r="LDY8" s="1857"/>
      <c r="LDZ8" s="1857"/>
      <c r="LEA8" s="1857"/>
      <c r="LEB8" s="1857"/>
      <c r="LEC8" s="1857"/>
      <c r="LED8" s="1857"/>
      <c r="LEE8" s="1857"/>
      <c r="LEF8" s="1857"/>
      <c r="LEG8" s="454"/>
      <c r="LEH8" s="1858"/>
      <c r="LEI8" s="449"/>
      <c r="LEJ8" s="449"/>
      <c r="LEK8" s="449"/>
      <c r="LEL8" s="460"/>
      <c r="LEM8" s="460"/>
      <c r="LEN8" s="460"/>
      <c r="LEO8" s="460"/>
      <c r="LEP8" s="460"/>
      <c r="LEQ8" s="460"/>
      <c r="LER8" s="450"/>
      <c r="LES8" s="1857"/>
      <c r="LET8" s="1857"/>
      <c r="LEU8" s="1857"/>
      <c r="LEV8" s="1857"/>
      <c r="LEW8" s="1857"/>
      <c r="LEX8" s="1857"/>
      <c r="LEY8" s="1857"/>
      <c r="LEZ8" s="1857"/>
      <c r="LFA8" s="1857"/>
      <c r="LFB8" s="1857"/>
      <c r="LFC8" s="1857"/>
      <c r="LFD8" s="1857"/>
      <c r="LFE8" s="1857"/>
      <c r="LFF8" s="454"/>
      <c r="LFG8" s="1858"/>
      <c r="LFH8" s="449"/>
      <c r="LFI8" s="449"/>
      <c r="LFJ8" s="449"/>
      <c r="LFK8" s="460"/>
      <c r="LFL8" s="460"/>
      <c r="LFM8" s="460"/>
      <c r="LFN8" s="460"/>
      <c r="LFO8" s="460"/>
      <c r="LFP8" s="460"/>
      <c r="LFQ8" s="450"/>
      <c r="LFR8" s="1857"/>
      <c r="LFS8" s="1857"/>
      <c r="LFT8" s="1857"/>
      <c r="LFU8" s="1857"/>
      <c r="LFV8" s="1857"/>
      <c r="LFW8" s="1857"/>
      <c r="LFX8" s="1857"/>
      <c r="LFY8" s="1857"/>
      <c r="LFZ8" s="1857"/>
      <c r="LGA8" s="1857"/>
      <c r="LGB8" s="1857"/>
      <c r="LGC8" s="1857"/>
      <c r="LGD8" s="1857"/>
      <c r="LGE8" s="454"/>
      <c r="LGF8" s="1858"/>
      <c r="LGG8" s="449"/>
      <c r="LGH8" s="449"/>
      <c r="LGI8" s="449"/>
      <c r="LGJ8" s="460"/>
      <c r="LGK8" s="460"/>
      <c r="LGL8" s="460"/>
      <c r="LGM8" s="460"/>
      <c r="LGN8" s="460"/>
      <c r="LGO8" s="460"/>
      <c r="LGP8" s="450"/>
      <c r="LGQ8" s="1857"/>
      <c r="LGR8" s="1857"/>
      <c r="LGS8" s="1857"/>
      <c r="LGT8" s="1857"/>
      <c r="LGU8" s="1857"/>
      <c r="LGV8" s="1857"/>
      <c r="LGW8" s="1857"/>
      <c r="LGX8" s="1857"/>
      <c r="LGY8" s="1857"/>
      <c r="LGZ8" s="1857"/>
      <c r="LHA8" s="1857"/>
      <c r="LHB8" s="1857"/>
      <c r="LHC8" s="1857"/>
      <c r="LHD8" s="454"/>
      <c r="LHE8" s="1858"/>
      <c r="LHF8" s="449"/>
      <c r="LHG8" s="449"/>
      <c r="LHH8" s="449"/>
      <c r="LHI8" s="460"/>
      <c r="LHJ8" s="460"/>
      <c r="LHK8" s="460"/>
      <c r="LHL8" s="460"/>
      <c r="LHM8" s="460"/>
      <c r="LHN8" s="460"/>
      <c r="LHO8" s="450"/>
      <c r="LHP8" s="1857"/>
      <c r="LHQ8" s="1857"/>
      <c r="LHR8" s="1857"/>
      <c r="LHS8" s="1857"/>
      <c r="LHT8" s="1857"/>
      <c r="LHU8" s="1857"/>
      <c r="LHV8" s="1857"/>
      <c r="LHW8" s="1857"/>
      <c r="LHX8" s="1857"/>
      <c r="LHY8" s="1857"/>
      <c r="LHZ8" s="1857"/>
      <c r="LIA8" s="1857"/>
      <c r="LIB8" s="1857"/>
      <c r="LIC8" s="454"/>
      <c r="LID8" s="1858"/>
      <c r="LIE8" s="449"/>
      <c r="LIF8" s="449"/>
      <c r="LIG8" s="449"/>
      <c r="LIH8" s="460"/>
      <c r="LII8" s="460"/>
      <c r="LIJ8" s="460"/>
      <c r="LIK8" s="460"/>
      <c r="LIL8" s="460"/>
      <c r="LIM8" s="460"/>
      <c r="LIN8" s="450"/>
      <c r="LIO8" s="1857"/>
      <c r="LIP8" s="1857"/>
      <c r="LIQ8" s="1857"/>
      <c r="LIR8" s="1857"/>
      <c r="LIS8" s="1857"/>
      <c r="LIT8" s="1857"/>
      <c r="LIU8" s="1857"/>
      <c r="LIV8" s="1857"/>
      <c r="LIW8" s="1857"/>
      <c r="LIX8" s="1857"/>
      <c r="LIY8" s="1857"/>
      <c r="LIZ8" s="1857"/>
      <c r="LJA8" s="1857"/>
      <c r="LJB8" s="454"/>
      <c r="LJC8" s="1858"/>
      <c r="LJD8" s="449"/>
      <c r="LJE8" s="449"/>
      <c r="LJF8" s="449"/>
      <c r="LJG8" s="460"/>
      <c r="LJH8" s="460"/>
      <c r="LJI8" s="460"/>
      <c r="LJJ8" s="460"/>
      <c r="LJK8" s="460"/>
      <c r="LJL8" s="460"/>
      <c r="LJM8" s="450"/>
      <c r="LJN8" s="1857"/>
      <c r="LJO8" s="1857"/>
      <c r="LJP8" s="1857"/>
      <c r="LJQ8" s="1857"/>
      <c r="LJR8" s="1857"/>
      <c r="LJS8" s="1857"/>
      <c r="LJT8" s="1857"/>
      <c r="LJU8" s="1857"/>
      <c r="LJV8" s="1857"/>
      <c r="LJW8" s="1857"/>
      <c r="LJX8" s="1857"/>
      <c r="LJY8" s="1857"/>
      <c r="LJZ8" s="1857"/>
      <c r="LKA8" s="454"/>
      <c r="LKB8" s="1858"/>
      <c r="LKC8" s="449"/>
      <c r="LKD8" s="449"/>
      <c r="LKE8" s="449"/>
      <c r="LKF8" s="460"/>
      <c r="LKG8" s="460"/>
      <c r="LKH8" s="460"/>
      <c r="LKI8" s="460"/>
      <c r="LKJ8" s="460"/>
      <c r="LKK8" s="460"/>
      <c r="LKL8" s="450"/>
      <c r="LKM8" s="1857"/>
      <c r="LKN8" s="1857"/>
      <c r="LKO8" s="1857"/>
      <c r="LKP8" s="1857"/>
      <c r="LKQ8" s="1857"/>
      <c r="LKR8" s="1857"/>
      <c r="LKS8" s="1857"/>
      <c r="LKT8" s="1857"/>
      <c r="LKU8" s="1857"/>
      <c r="LKV8" s="1857"/>
      <c r="LKW8" s="1857"/>
      <c r="LKX8" s="1857"/>
      <c r="LKY8" s="1857"/>
      <c r="LKZ8" s="454"/>
      <c r="LLA8" s="1858"/>
      <c r="LLB8" s="449"/>
      <c r="LLC8" s="449"/>
      <c r="LLD8" s="449"/>
      <c r="LLE8" s="460"/>
      <c r="LLF8" s="460"/>
      <c r="LLG8" s="460"/>
      <c r="LLH8" s="460"/>
      <c r="LLI8" s="460"/>
      <c r="LLJ8" s="460"/>
      <c r="LLK8" s="450"/>
      <c r="LLL8" s="1857"/>
      <c r="LLM8" s="1857"/>
      <c r="LLN8" s="1857"/>
      <c r="LLO8" s="1857"/>
      <c r="LLP8" s="1857"/>
      <c r="LLQ8" s="1857"/>
      <c r="LLR8" s="1857"/>
      <c r="LLS8" s="1857"/>
      <c r="LLT8" s="1857"/>
      <c r="LLU8" s="1857"/>
      <c r="LLV8" s="1857"/>
      <c r="LLW8" s="1857"/>
      <c r="LLX8" s="1857"/>
      <c r="LLY8" s="454"/>
      <c r="LLZ8" s="1858"/>
      <c r="LMA8" s="449"/>
      <c r="LMB8" s="449"/>
      <c r="LMC8" s="449"/>
      <c r="LMD8" s="460"/>
      <c r="LME8" s="460"/>
      <c r="LMF8" s="460"/>
      <c r="LMG8" s="460"/>
      <c r="LMH8" s="460"/>
      <c r="LMI8" s="460"/>
      <c r="LMJ8" s="450"/>
      <c r="LMK8" s="1857"/>
      <c r="LML8" s="1857"/>
      <c r="LMM8" s="1857"/>
      <c r="LMN8" s="1857"/>
      <c r="LMO8" s="1857"/>
      <c r="LMP8" s="1857"/>
      <c r="LMQ8" s="1857"/>
      <c r="LMR8" s="1857"/>
      <c r="LMS8" s="1857"/>
      <c r="LMT8" s="1857"/>
      <c r="LMU8" s="1857"/>
      <c r="LMV8" s="1857"/>
      <c r="LMW8" s="1857"/>
      <c r="LMX8" s="454"/>
      <c r="LMY8" s="1858"/>
      <c r="LMZ8" s="449"/>
      <c r="LNA8" s="449"/>
      <c r="LNB8" s="449"/>
      <c r="LNC8" s="460"/>
      <c r="LND8" s="460"/>
      <c r="LNE8" s="460"/>
      <c r="LNF8" s="460"/>
      <c r="LNG8" s="460"/>
      <c r="LNH8" s="460"/>
      <c r="LNI8" s="450"/>
      <c r="LNJ8" s="1857"/>
      <c r="LNK8" s="1857"/>
      <c r="LNL8" s="1857"/>
      <c r="LNM8" s="1857"/>
      <c r="LNN8" s="1857"/>
      <c r="LNO8" s="1857"/>
      <c r="LNP8" s="1857"/>
      <c r="LNQ8" s="1857"/>
      <c r="LNR8" s="1857"/>
      <c r="LNS8" s="1857"/>
      <c r="LNT8" s="1857"/>
      <c r="LNU8" s="1857"/>
      <c r="LNV8" s="1857"/>
      <c r="LNW8" s="454"/>
      <c r="LNX8" s="1858"/>
      <c r="LNY8" s="449"/>
      <c r="LNZ8" s="449"/>
      <c r="LOA8" s="449"/>
      <c r="LOB8" s="460"/>
      <c r="LOC8" s="460"/>
      <c r="LOD8" s="460"/>
      <c r="LOE8" s="460"/>
      <c r="LOF8" s="460"/>
      <c r="LOG8" s="460"/>
      <c r="LOH8" s="450"/>
      <c r="LOI8" s="1857"/>
      <c r="LOJ8" s="1857"/>
      <c r="LOK8" s="1857"/>
      <c r="LOL8" s="1857"/>
      <c r="LOM8" s="1857"/>
      <c r="LON8" s="1857"/>
      <c r="LOO8" s="1857"/>
      <c r="LOP8" s="1857"/>
      <c r="LOQ8" s="1857"/>
      <c r="LOR8" s="1857"/>
      <c r="LOS8" s="1857"/>
      <c r="LOT8" s="1857"/>
      <c r="LOU8" s="1857"/>
      <c r="LOV8" s="454"/>
      <c r="LOW8" s="1858"/>
      <c r="LOX8" s="449"/>
      <c r="LOY8" s="449"/>
      <c r="LOZ8" s="449"/>
      <c r="LPA8" s="460"/>
      <c r="LPB8" s="460"/>
      <c r="LPC8" s="460"/>
      <c r="LPD8" s="460"/>
      <c r="LPE8" s="460"/>
      <c r="LPF8" s="460"/>
      <c r="LPG8" s="450"/>
      <c r="LPH8" s="1857"/>
      <c r="LPI8" s="1857"/>
      <c r="LPJ8" s="1857"/>
      <c r="LPK8" s="1857"/>
      <c r="LPL8" s="1857"/>
      <c r="LPM8" s="1857"/>
      <c r="LPN8" s="1857"/>
      <c r="LPO8" s="1857"/>
      <c r="LPP8" s="1857"/>
      <c r="LPQ8" s="1857"/>
      <c r="LPR8" s="1857"/>
      <c r="LPS8" s="1857"/>
      <c r="LPT8" s="1857"/>
      <c r="LPU8" s="454"/>
      <c r="LPV8" s="1858"/>
      <c r="LPW8" s="449"/>
      <c r="LPX8" s="449"/>
      <c r="LPY8" s="449"/>
      <c r="LPZ8" s="460"/>
      <c r="LQA8" s="460"/>
      <c r="LQB8" s="460"/>
      <c r="LQC8" s="460"/>
      <c r="LQD8" s="460"/>
      <c r="LQE8" s="460"/>
      <c r="LQF8" s="450"/>
      <c r="LQG8" s="1857"/>
      <c r="LQH8" s="1857"/>
      <c r="LQI8" s="1857"/>
      <c r="LQJ8" s="1857"/>
      <c r="LQK8" s="1857"/>
      <c r="LQL8" s="1857"/>
      <c r="LQM8" s="1857"/>
      <c r="LQN8" s="1857"/>
      <c r="LQO8" s="1857"/>
      <c r="LQP8" s="1857"/>
      <c r="LQQ8" s="1857"/>
      <c r="LQR8" s="1857"/>
      <c r="LQS8" s="1857"/>
      <c r="LQT8" s="454"/>
      <c r="LQU8" s="1858"/>
      <c r="LQV8" s="449"/>
      <c r="LQW8" s="449"/>
      <c r="LQX8" s="449"/>
      <c r="LQY8" s="460"/>
      <c r="LQZ8" s="460"/>
      <c r="LRA8" s="460"/>
      <c r="LRB8" s="460"/>
      <c r="LRC8" s="460"/>
      <c r="LRD8" s="460"/>
      <c r="LRE8" s="450"/>
      <c r="LRF8" s="1857"/>
      <c r="LRG8" s="1857"/>
      <c r="LRH8" s="1857"/>
      <c r="LRI8" s="1857"/>
      <c r="LRJ8" s="1857"/>
      <c r="LRK8" s="1857"/>
      <c r="LRL8" s="1857"/>
      <c r="LRM8" s="1857"/>
      <c r="LRN8" s="1857"/>
      <c r="LRO8" s="1857"/>
      <c r="LRP8" s="1857"/>
      <c r="LRQ8" s="1857"/>
      <c r="LRR8" s="1857"/>
      <c r="LRS8" s="454"/>
      <c r="LRT8" s="1858"/>
      <c r="LRU8" s="449"/>
      <c r="LRV8" s="449"/>
      <c r="LRW8" s="449"/>
      <c r="LRX8" s="460"/>
      <c r="LRY8" s="460"/>
      <c r="LRZ8" s="460"/>
      <c r="LSA8" s="460"/>
      <c r="LSB8" s="460"/>
      <c r="LSC8" s="460"/>
      <c r="LSD8" s="450"/>
      <c r="LSE8" s="1857"/>
      <c r="LSF8" s="1857"/>
      <c r="LSG8" s="1857"/>
      <c r="LSH8" s="1857"/>
      <c r="LSI8" s="1857"/>
      <c r="LSJ8" s="1857"/>
      <c r="LSK8" s="1857"/>
      <c r="LSL8" s="1857"/>
      <c r="LSM8" s="1857"/>
      <c r="LSN8" s="1857"/>
      <c r="LSO8" s="1857"/>
      <c r="LSP8" s="1857"/>
      <c r="LSQ8" s="1857"/>
      <c r="LSR8" s="454"/>
      <c r="LSS8" s="1858"/>
      <c r="LST8" s="449"/>
      <c r="LSU8" s="449"/>
      <c r="LSV8" s="449"/>
      <c r="LSW8" s="460"/>
      <c r="LSX8" s="460"/>
      <c r="LSY8" s="460"/>
      <c r="LSZ8" s="460"/>
      <c r="LTA8" s="460"/>
      <c r="LTB8" s="460"/>
      <c r="LTC8" s="450"/>
      <c r="LTD8" s="1857"/>
      <c r="LTE8" s="1857"/>
      <c r="LTF8" s="1857"/>
      <c r="LTG8" s="1857"/>
      <c r="LTH8" s="1857"/>
      <c r="LTI8" s="1857"/>
      <c r="LTJ8" s="1857"/>
      <c r="LTK8" s="1857"/>
      <c r="LTL8" s="1857"/>
      <c r="LTM8" s="1857"/>
      <c r="LTN8" s="1857"/>
      <c r="LTO8" s="1857"/>
      <c r="LTP8" s="1857"/>
      <c r="LTQ8" s="454"/>
      <c r="LTR8" s="1858"/>
      <c r="LTS8" s="449"/>
      <c r="LTT8" s="449"/>
      <c r="LTU8" s="449"/>
      <c r="LTV8" s="460"/>
      <c r="LTW8" s="460"/>
      <c r="LTX8" s="460"/>
      <c r="LTY8" s="460"/>
      <c r="LTZ8" s="460"/>
      <c r="LUA8" s="460"/>
      <c r="LUB8" s="450"/>
      <c r="LUC8" s="1857"/>
      <c r="LUD8" s="1857"/>
      <c r="LUE8" s="1857"/>
      <c r="LUF8" s="1857"/>
      <c r="LUG8" s="1857"/>
      <c r="LUH8" s="1857"/>
      <c r="LUI8" s="1857"/>
      <c r="LUJ8" s="1857"/>
      <c r="LUK8" s="1857"/>
      <c r="LUL8" s="1857"/>
      <c r="LUM8" s="1857"/>
      <c r="LUN8" s="1857"/>
      <c r="LUO8" s="1857"/>
      <c r="LUP8" s="454"/>
      <c r="LUQ8" s="1858"/>
      <c r="LUR8" s="449"/>
      <c r="LUS8" s="449"/>
      <c r="LUT8" s="449"/>
      <c r="LUU8" s="460"/>
      <c r="LUV8" s="460"/>
      <c r="LUW8" s="460"/>
      <c r="LUX8" s="460"/>
      <c r="LUY8" s="460"/>
      <c r="LUZ8" s="460"/>
      <c r="LVA8" s="450"/>
      <c r="LVB8" s="1857"/>
      <c r="LVC8" s="1857"/>
      <c r="LVD8" s="1857"/>
      <c r="LVE8" s="1857"/>
      <c r="LVF8" s="1857"/>
      <c r="LVG8" s="1857"/>
      <c r="LVH8" s="1857"/>
      <c r="LVI8" s="1857"/>
      <c r="LVJ8" s="1857"/>
      <c r="LVK8" s="1857"/>
      <c r="LVL8" s="1857"/>
      <c r="LVM8" s="1857"/>
      <c r="LVN8" s="1857"/>
      <c r="LVO8" s="454"/>
      <c r="LVP8" s="1858"/>
      <c r="LVQ8" s="449"/>
      <c r="LVR8" s="449"/>
      <c r="LVS8" s="449"/>
      <c r="LVT8" s="460"/>
      <c r="LVU8" s="460"/>
      <c r="LVV8" s="460"/>
      <c r="LVW8" s="460"/>
      <c r="LVX8" s="460"/>
      <c r="LVY8" s="460"/>
      <c r="LVZ8" s="450"/>
      <c r="LWA8" s="1857"/>
      <c r="LWB8" s="1857"/>
      <c r="LWC8" s="1857"/>
      <c r="LWD8" s="1857"/>
      <c r="LWE8" s="1857"/>
      <c r="LWF8" s="1857"/>
      <c r="LWG8" s="1857"/>
      <c r="LWH8" s="1857"/>
      <c r="LWI8" s="1857"/>
      <c r="LWJ8" s="1857"/>
      <c r="LWK8" s="1857"/>
      <c r="LWL8" s="1857"/>
      <c r="LWM8" s="1857"/>
      <c r="LWN8" s="454"/>
      <c r="LWO8" s="1858"/>
      <c r="LWP8" s="449"/>
      <c r="LWQ8" s="449"/>
      <c r="LWR8" s="449"/>
      <c r="LWS8" s="460"/>
      <c r="LWT8" s="460"/>
      <c r="LWU8" s="460"/>
      <c r="LWV8" s="460"/>
      <c r="LWW8" s="460"/>
      <c r="LWX8" s="460"/>
      <c r="LWY8" s="450"/>
      <c r="LWZ8" s="1857"/>
      <c r="LXA8" s="1857"/>
      <c r="LXB8" s="1857"/>
      <c r="LXC8" s="1857"/>
      <c r="LXD8" s="1857"/>
      <c r="LXE8" s="1857"/>
      <c r="LXF8" s="1857"/>
      <c r="LXG8" s="1857"/>
      <c r="LXH8" s="1857"/>
      <c r="LXI8" s="1857"/>
      <c r="LXJ8" s="1857"/>
      <c r="LXK8" s="1857"/>
      <c r="LXL8" s="1857"/>
      <c r="LXM8" s="454"/>
      <c r="LXN8" s="1858"/>
      <c r="LXO8" s="449"/>
      <c r="LXP8" s="449"/>
      <c r="LXQ8" s="449"/>
      <c r="LXR8" s="460"/>
      <c r="LXS8" s="460"/>
      <c r="LXT8" s="460"/>
      <c r="LXU8" s="460"/>
      <c r="LXV8" s="460"/>
      <c r="LXW8" s="460"/>
      <c r="LXX8" s="450"/>
      <c r="LXY8" s="1857"/>
      <c r="LXZ8" s="1857"/>
      <c r="LYA8" s="1857"/>
      <c r="LYB8" s="1857"/>
      <c r="LYC8" s="1857"/>
      <c r="LYD8" s="1857"/>
      <c r="LYE8" s="1857"/>
      <c r="LYF8" s="1857"/>
      <c r="LYG8" s="1857"/>
      <c r="LYH8" s="1857"/>
      <c r="LYI8" s="1857"/>
      <c r="LYJ8" s="1857"/>
      <c r="LYK8" s="1857"/>
      <c r="LYL8" s="454"/>
      <c r="LYM8" s="1858"/>
      <c r="LYN8" s="449"/>
      <c r="LYO8" s="449"/>
      <c r="LYP8" s="449"/>
      <c r="LYQ8" s="460"/>
      <c r="LYR8" s="460"/>
      <c r="LYS8" s="460"/>
      <c r="LYT8" s="460"/>
      <c r="LYU8" s="460"/>
      <c r="LYV8" s="460"/>
      <c r="LYW8" s="450"/>
      <c r="LYX8" s="1857"/>
      <c r="LYY8" s="1857"/>
      <c r="LYZ8" s="1857"/>
      <c r="LZA8" s="1857"/>
      <c r="LZB8" s="1857"/>
      <c r="LZC8" s="1857"/>
      <c r="LZD8" s="1857"/>
      <c r="LZE8" s="1857"/>
      <c r="LZF8" s="1857"/>
      <c r="LZG8" s="1857"/>
      <c r="LZH8" s="1857"/>
      <c r="LZI8" s="1857"/>
      <c r="LZJ8" s="1857"/>
      <c r="LZK8" s="454"/>
      <c r="LZL8" s="1858"/>
      <c r="LZM8" s="449"/>
      <c r="LZN8" s="449"/>
      <c r="LZO8" s="449"/>
      <c r="LZP8" s="460"/>
      <c r="LZQ8" s="460"/>
      <c r="LZR8" s="460"/>
      <c r="LZS8" s="460"/>
      <c r="LZT8" s="460"/>
      <c r="LZU8" s="460"/>
      <c r="LZV8" s="450"/>
      <c r="LZW8" s="1857"/>
      <c r="LZX8" s="1857"/>
      <c r="LZY8" s="1857"/>
      <c r="LZZ8" s="1857"/>
      <c r="MAA8" s="1857"/>
      <c r="MAB8" s="1857"/>
      <c r="MAC8" s="1857"/>
      <c r="MAD8" s="1857"/>
      <c r="MAE8" s="1857"/>
      <c r="MAF8" s="1857"/>
      <c r="MAG8" s="1857"/>
      <c r="MAH8" s="1857"/>
      <c r="MAI8" s="1857"/>
      <c r="MAJ8" s="454"/>
      <c r="MAK8" s="1858"/>
      <c r="MAL8" s="449"/>
      <c r="MAM8" s="449"/>
      <c r="MAN8" s="449"/>
      <c r="MAO8" s="460"/>
      <c r="MAP8" s="460"/>
      <c r="MAQ8" s="460"/>
      <c r="MAR8" s="460"/>
      <c r="MAS8" s="460"/>
      <c r="MAT8" s="460"/>
      <c r="MAU8" s="450"/>
      <c r="MAV8" s="1857"/>
      <c r="MAW8" s="1857"/>
      <c r="MAX8" s="1857"/>
      <c r="MAY8" s="1857"/>
      <c r="MAZ8" s="1857"/>
      <c r="MBA8" s="1857"/>
      <c r="MBB8" s="1857"/>
      <c r="MBC8" s="1857"/>
      <c r="MBD8" s="1857"/>
      <c r="MBE8" s="1857"/>
      <c r="MBF8" s="1857"/>
      <c r="MBG8" s="1857"/>
      <c r="MBH8" s="1857"/>
      <c r="MBI8" s="454"/>
      <c r="MBJ8" s="1858"/>
      <c r="MBK8" s="449"/>
      <c r="MBL8" s="449"/>
      <c r="MBM8" s="449"/>
      <c r="MBN8" s="460"/>
      <c r="MBO8" s="460"/>
      <c r="MBP8" s="460"/>
      <c r="MBQ8" s="460"/>
      <c r="MBR8" s="460"/>
      <c r="MBS8" s="460"/>
      <c r="MBT8" s="450"/>
      <c r="MBU8" s="1857"/>
      <c r="MBV8" s="1857"/>
      <c r="MBW8" s="1857"/>
      <c r="MBX8" s="1857"/>
      <c r="MBY8" s="1857"/>
      <c r="MBZ8" s="1857"/>
      <c r="MCA8" s="1857"/>
      <c r="MCB8" s="1857"/>
      <c r="MCC8" s="1857"/>
      <c r="MCD8" s="1857"/>
      <c r="MCE8" s="1857"/>
      <c r="MCF8" s="1857"/>
      <c r="MCG8" s="1857"/>
      <c r="MCH8" s="454"/>
      <c r="MCI8" s="1858"/>
      <c r="MCJ8" s="449"/>
      <c r="MCK8" s="449"/>
      <c r="MCL8" s="449"/>
      <c r="MCM8" s="460"/>
      <c r="MCN8" s="460"/>
      <c r="MCO8" s="460"/>
      <c r="MCP8" s="460"/>
      <c r="MCQ8" s="460"/>
      <c r="MCR8" s="460"/>
      <c r="MCS8" s="450"/>
      <c r="MCT8" s="1857"/>
      <c r="MCU8" s="1857"/>
      <c r="MCV8" s="1857"/>
      <c r="MCW8" s="1857"/>
      <c r="MCX8" s="1857"/>
      <c r="MCY8" s="1857"/>
      <c r="MCZ8" s="1857"/>
      <c r="MDA8" s="1857"/>
      <c r="MDB8" s="1857"/>
      <c r="MDC8" s="1857"/>
      <c r="MDD8" s="1857"/>
      <c r="MDE8" s="1857"/>
      <c r="MDF8" s="1857"/>
      <c r="MDG8" s="454"/>
      <c r="MDH8" s="1858"/>
      <c r="MDI8" s="449"/>
      <c r="MDJ8" s="449"/>
      <c r="MDK8" s="449"/>
      <c r="MDL8" s="460"/>
      <c r="MDM8" s="460"/>
      <c r="MDN8" s="460"/>
      <c r="MDO8" s="460"/>
      <c r="MDP8" s="460"/>
      <c r="MDQ8" s="460"/>
      <c r="MDR8" s="450"/>
      <c r="MDS8" s="1857"/>
      <c r="MDT8" s="1857"/>
      <c r="MDU8" s="1857"/>
      <c r="MDV8" s="1857"/>
      <c r="MDW8" s="1857"/>
      <c r="MDX8" s="1857"/>
      <c r="MDY8" s="1857"/>
      <c r="MDZ8" s="1857"/>
      <c r="MEA8" s="1857"/>
      <c r="MEB8" s="1857"/>
      <c r="MEC8" s="1857"/>
      <c r="MED8" s="1857"/>
      <c r="MEE8" s="1857"/>
      <c r="MEF8" s="454"/>
      <c r="MEG8" s="1858"/>
      <c r="MEH8" s="449"/>
      <c r="MEI8" s="449"/>
      <c r="MEJ8" s="449"/>
      <c r="MEK8" s="460"/>
      <c r="MEL8" s="460"/>
      <c r="MEM8" s="460"/>
      <c r="MEN8" s="460"/>
      <c r="MEO8" s="460"/>
      <c r="MEP8" s="460"/>
      <c r="MEQ8" s="450"/>
      <c r="MER8" s="1857"/>
      <c r="MES8" s="1857"/>
      <c r="MET8" s="1857"/>
      <c r="MEU8" s="1857"/>
      <c r="MEV8" s="1857"/>
      <c r="MEW8" s="1857"/>
      <c r="MEX8" s="1857"/>
      <c r="MEY8" s="1857"/>
      <c r="MEZ8" s="1857"/>
      <c r="MFA8" s="1857"/>
      <c r="MFB8" s="1857"/>
      <c r="MFC8" s="1857"/>
      <c r="MFD8" s="1857"/>
      <c r="MFE8" s="454"/>
      <c r="MFF8" s="1858"/>
      <c r="MFG8" s="449"/>
      <c r="MFH8" s="449"/>
      <c r="MFI8" s="449"/>
      <c r="MFJ8" s="460"/>
      <c r="MFK8" s="460"/>
      <c r="MFL8" s="460"/>
      <c r="MFM8" s="460"/>
      <c r="MFN8" s="460"/>
      <c r="MFO8" s="460"/>
      <c r="MFP8" s="450"/>
      <c r="MFQ8" s="1857"/>
      <c r="MFR8" s="1857"/>
      <c r="MFS8" s="1857"/>
      <c r="MFT8" s="1857"/>
      <c r="MFU8" s="1857"/>
      <c r="MFV8" s="1857"/>
      <c r="MFW8" s="1857"/>
      <c r="MFX8" s="1857"/>
      <c r="MFY8" s="1857"/>
      <c r="MFZ8" s="1857"/>
      <c r="MGA8" s="1857"/>
      <c r="MGB8" s="1857"/>
      <c r="MGC8" s="1857"/>
      <c r="MGD8" s="454"/>
      <c r="MGE8" s="1858"/>
      <c r="MGF8" s="449"/>
      <c r="MGG8" s="449"/>
      <c r="MGH8" s="449"/>
      <c r="MGI8" s="460"/>
      <c r="MGJ8" s="460"/>
      <c r="MGK8" s="460"/>
      <c r="MGL8" s="460"/>
      <c r="MGM8" s="460"/>
      <c r="MGN8" s="460"/>
      <c r="MGO8" s="450"/>
      <c r="MGP8" s="1857"/>
      <c r="MGQ8" s="1857"/>
      <c r="MGR8" s="1857"/>
      <c r="MGS8" s="1857"/>
      <c r="MGT8" s="1857"/>
      <c r="MGU8" s="1857"/>
      <c r="MGV8" s="1857"/>
      <c r="MGW8" s="1857"/>
      <c r="MGX8" s="1857"/>
      <c r="MGY8" s="1857"/>
      <c r="MGZ8" s="1857"/>
      <c r="MHA8" s="1857"/>
      <c r="MHB8" s="1857"/>
      <c r="MHC8" s="454"/>
      <c r="MHD8" s="1858"/>
      <c r="MHE8" s="449"/>
      <c r="MHF8" s="449"/>
      <c r="MHG8" s="449"/>
      <c r="MHH8" s="460"/>
      <c r="MHI8" s="460"/>
      <c r="MHJ8" s="460"/>
      <c r="MHK8" s="460"/>
      <c r="MHL8" s="460"/>
      <c r="MHM8" s="460"/>
      <c r="MHN8" s="450"/>
      <c r="MHO8" s="1857"/>
      <c r="MHP8" s="1857"/>
      <c r="MHQ8" s="1857"/>
      <c r="MHR8" s="1857"/>
      <c r="MHS8" s="1857"/>
      <c r="MHT8" s="1857"/>
      <c r="MHU8" s="1857"/>
      <c r="MHV8" s="1857"/>
      <c r="MHW8" s="1857"/>
      <c r="MHX8" s="1857"/>
      <c r="MHY8" s="1857"/>
      <c r="MHZ8" s="1857"/>
      <c r="MIA8" s="1857"/>
      <c r="MIB8" s="454"/>
      <c r="MIC8" s="1858"/>
      <c r="MID8" s="449"/>
      <c r="MIE8" s="449"/>
      <c r="MIF8" s="449"/>
      <c r="MIG8" s="460"/>
      <c r="MIH8" s="460"/>
      <c r="MII8" s="460"/>
      <c r="MIJ8" s="460"/>
      <c r="MIK8" s="460"/>
      <c r="MIL8" s="460"/>
      <c r="MIM8" s="450"/>
      <c r="MIN8" s="1857"/>
      <c r="MIO8" s="1857"/>
      <c r="MIP8" s="1857"/>
      <c r="MIQ8" s="1857"/>
      <c r="MIR8" s="1857"/>
      <c r="MIS8" s="1857"/>
      <c r="MIT8" s="1857"/>
      <c r="MIU8" s="1857"/>
      <c r="MIV8" s="1857"/>
      <c r="MIW8" s="1857"/>
      <c r="MIX8" s="1857"/>
      <c r="MIY8" s="1857"/>
      <c r="MIZ8" s="1857"/>
      <c r="MJA8" s="454"/>
      <c r="MJB8" s="1858"/>
      <c r="MJC8" s="449"/>
      <c r="MJD8" s="449"/>
      <c r="MJE8" s="449"/>
      <c r="MJF8" s="460"/>
      <c r="MJG8" s="460"/>
      <c r="MJH8" s="460"/>
      <c r="MJI8" s="460"/>
      <c r="MJJ8" s="460"/>
      <c r="MJK8" s="460"/>
      <c r="MJL8" s="450"/>
      <c r="MJM8" s="1857"/>
      <c r="MJN8" s="1857"/>
      <c r="MJO8" s="1857"/>
      <c r="MJP8" s="1857"/>
      <c r="MJQ8" s="1857"/>
      <c r="MJR8" s="1857"/>
      <c r="MJS8" s="1857"/>
      <c r="MJT8" s="1857"/>
      <c r="MJU8" s="1857"/>
      <c r="MJV8" s="1857"/>
      <c r="MJW8" s="1857"/>
      <c r="MJX8" s="1857"/>
      <c r="MJY8" s="1857"/>
      <c r="MJZ8" s="454"/>
      <c r="MKA8" s="1858"/>
      <c r="MKB8" s="449"/>
      <c r="MKC8" s="449"/>
      <c r="MKD8" s="449"/>
      <c r="MKE8" s="460"/>
      <c r="MKF8" s="460"/>
      <c r="MKG8" s="460"/>
      <c r="MKH8" s="460"/>
      <c r="MKI8" s="460"/>
      <c r="MKJ8" s="460"/>
      <c r="MKK8" s="450"/>
      <c r="MKL8" s="1857"/>
      <c r="MKM8" s="1857"/>
      <c r="MKN8" s="1857"/>
      <c r="MKO8" s="1857"/>
      <c r="MKP8" s="1857"/>
      <c r="MKQ8" s="1857"/>
      <c r="MKR8" s="1857"/>
      <c r="MKS8" s="1857"/>
      <c r="MKT8" s="1857"/>
      <c r="MKU8" s="1857"/>
      <c r="MKV8" s="1857"/>
      <c r="MKW8" s="1857"/>
      <c r="MKX8" s="1857"/>
      <c r="MKY8" s="454"/>
      <c r="MKZ8" s="1858"/>
      <c r="MLA8" s="449"/>
      <c r="MLB8" s="449"/>
      <c r="MLC8" s="449"/>
      <c r="MLD8" s="460"/>
      <c r="MLE8" s="460"/>
      <c r="MLF8" s="460"/>
      <c r="MLG8" s="460"/>
      <c r="MLH8" s="460"/>
      <c r="MLI8" s="460"/>
      <c r="MLJ8" s="450"/>
      <c r="MLK8" s="1857"/>
      <c r="MLL8" s="1857"/>
      <c r="MLM8" s="1857"/>
      <c r="MLN8" s="1857"/>
      <c r="MLO8" s="1857"/>
      <c r="MLP8" s="1857"/>
      <c r="MLQ8" s="1857"/>
      <c r="MLR8" s="1857"/>
      <c r="MLS8" s="1857"/>
      <c r="MLT8" s="1857"/>
      <c r="MLU8" s="1857"/>
      <c r="MLV8" s="1857"/>
      <c r="MLW8" s="1857"/>
      <c r="MLX8" s="454"/>
      <c r="MLY8" s="1858"/>
      <c r="MLZ8" s="449"/>
      <c r="MMA8" s="449"/>
      <c r="MMB8" s="449"/>
      <c r="MMC8" s="460"/>
      <c r="MMD8" s="460"/>
      <c r="MME8" s="460"/>
      <c r="MMF8" s="460"/>
      <c r="MMG8" s="460"/>
      <c r="MMH8" s="460"/>
      <c r="MMI8" s="450"/>
      <c r="MMJ8" s="1857"/>
      <c r="MMK8" s="1857"/>
      <c r="MML8" s="1857"/>
      <c r="MMM8" s="1857"/>
      <c r="MMN8" s="1857"/>
      <c r="MMO8" s="1857"/>
      <c r="MMP8" s="1857"/>
      <c r="MMQ8" s="1857"/>
      <c r="MMR8" s="1857"/>
      <c r="MMS8" s="1857"/>
      <c r="MMT8" s="1857"/>
      <c r="MMU8" s="1857"/>
      <c r="MMV8" s="1857"/>
      <c r="MMW8" s="454"/>
      <c r="MMX8" s="1858"/>
      <c r="MMY8" s="449"/>
      <c r="MMZ8" s="449"/>
      <c r="MNA8" s="449"/>
      <c r="MNB8" s="460"/>
      <c r="MNC8" s="460"/>
      <c r="MND8" s="460"/>
      <c r="MNE8" s="460"/>
      <c r="MNF8" s="460"/>
      <c r="MNG8" s="460"/>
      <c r="MNH8" s="450"/>
      <c r="MNI8" s="1857"/>
      <c r="MNJ8" s="1857"/>
      <c r="MNK8" s="1857"/>
      <c r="MNL8" s="1857"/>
      <c r="MNM8" s="1857"/>
      <c r="MNN8" s="1857"/>
      <c r="MNO8" s="1857"/>
      <c r="MNP8" s="1857"/>
      <c r="MNQ8" s="1857"/>
      <c r="MNR8" s="1857"/>
      <c r="MNS8" s="1857"/>
      <c r="MNT8" s="1857"/>
      <c r="MNU8" s="1857"/>
      <c r="MNV8" s="454"/>
      <c r="MNW8" s="1858"/>
      <c r="MNX8" s="449"/>
      <c r="MNY8" s="449"/>
      <c r="MNZ8" s="449"/>
      <c r="MOA8" s="460"/>
      <c r="MOB8" s="460"/>
      <c r="MOC8" s="460"/>
      <c r="MOD8" s="460"/>
      <c r="MOE8" s="460"/>
      <c r="MOF8" s="460"/>
      <c r="MOG8" s="450"/>
      <c r="MOH8" s="1857"/>
      <c r="MOI8" s="1857"/>
      <c r="MOJ8" s="1857"/>
      <c r="MOK8" s="1857"/>
      <c r="MOL8" s="1857"/>
      <c r="MOM8" s="1857"/>
      <c r="MON8" s="1857"/>
      <c r="MOO8" s="1857"/>
      <c r="MOP8" s="1857"/>
      <c r="MOQ8" s="1857"/>
      <c r="MOR8" s="1857"/>
      <c r="MOS8" s="1857"/>
      <c r="MOT8" s="1857"/>
      <c r="MOU8" s="454"/>
      <c r="MOV8" s="1858"/>
      <c r="MOW8" s="449"/>
      <c r="MOX8" s="449"/>
      <c r="MOY8" s="449"/>
      <c r="MOZ8" s="460"/>
      <c r="MPA8" s="460"/>
      <c r="MPB8" s="460"/>
      <c r="MPC8" s="460"/>
      <c r="MPD8" s="460"/>
      <c r="MPE8" s="460"/>
      <c r="MPF8" s="450"/>
      <c r="MPG8" s="1857"/>
      <c r="MPH8" s="1857"/>
      <c r="MPI8" s="1857"/>
      <c r="MPJ8" s="1857"/>
      <c r="MPK8" s="1857"/>
      <c r="MPL8" s="1857"/>
      <c r="MPM8" s="1857"/>
      <c r="MPN8" s="1857"/>
      <c r="MPO8" s="1857"/>
      <c r="MPP8" s="1857"/>
      <c r="MPQ8" s="1857"/>
      <c r="MPR8" s="1857"/>
      <c r="MPS8" s="1857"/>
      <c r="MPT8" s="454"/>
      <c r="MPU8" s="1858"/>
      <c r="MPV8" s="449"/>
      <c r="MPW8" s="449"/>
      <c r="MPX8" s="449"/>
      <c r="MPY8" s="460"/>
      <c r="MPZ8" s="460"/>
      <c r="MQA8" s="460"/>
      <c r="MQB8" s="460"/>
      <c r="MQC8" s="460"/>
      <c r="MQD8" s="460"/>
      <c r="MQE8" s="450"/>
      <c r="MQF8" s="1857"/>
      <c r="MQG8" s="1857"/>
      <c r="MQH8" s="1857"/>
      <c r="MQI8" s="1857"/>
      <c r="MQJ8" s="1857"/>
      <c r="MQK8" s="1857"/>
      <c r="MQL8" s="1857"/>
      <c r="MQM8" s="1857"/>
      <c r="MQN8" s="1857"/>
      <c r="MQO8" s="1857"/>
      <c r="MQP8" s="1857"/>
      <c r="MQQ8" s="1857"/>
      <c r="MQR8" s="1857"/>
      <c r="MQS8" s="454"/>
      <c r="MQT8" s="1858"/>
      <c r="MQU8" s="449"/>
      <c r="MQV8" s="449"/>
      <c r="MQW8" s="449"/>
      <c r="MQX8" s="460"/>
      <c r="MQY8" s="460"/>
      <c r="MQZ8" s="460"/>
      <c r="MRA8" s="460"/>
      <c r="MRB8" s="460"/>
      <c r="MRC8" s="460"/>
      <c r="MRD8" s="450"/>
      <c r="MRE8" s="1857"/>
      <c r="MRF8" s="1857"/>
      <c r="MRG8" s="1857"/>
      <c r="MRH8" s="1857"/>
      <c r="MRI8" s="1857"/>
      <c r="MRJ8" s="1857"/>
      <c r="MRK8" s="1857"/>
      <c r="MRL8" s="1857"/>
      <c r="MRM8" s="1857"/>
      <c r="MRN8" s="1857"/>
      <c r="MRO8" s="1857"/>
      <c r="MRP8" s="1857"/>
      <c r="MRQ8" s="1857"/>
      <c r="MRR8" s="454"/>
      <c r="MRS8" s="1858"/>
      <c r="MRT8" s="449"/>
      <c r="MRU8" s="449"/>
      <c r="MRV8" s="449"/>
      <c r="MRW8" s="460"/>
      <c r="MRX8" s="460"/>
      <c r="MRY8" s="460"/>
      <c r="MRZ8" s="460"/>
      <c r="MSA8" s="460"/>
      <c r="MSB8" s="460"/>
      <c r="MSC8" s="450"/>
      <c r="MSD8" s="1857"/>
      <c r="MSE8" s="1857"/>
      <c r="MSF8" s="1857"/>
      <c r="MSG8" s="1857"/>
      <c r="MSH8" s="1857"/>
      <c r="MSI8" s="1857"/>
      <c r="MSJ8" s="1857"/>
      <c r="MSK8" s="1857"/>
      <c r="MSL8" s="1857"/>
      <c r="MSM8" s="1857"/>
      <c r="MSN8" s="1857"/>
      <c r="MSO8" s="1857"/>
      <c r="MSP8" s="1857"/>
      <c r="MSQ8" s="454"/>
      <c r="MSR8" s="1858"/>
      <c r="MSS8" s="449"/>
      <c r="MST8" s="449"/>
      <c r="MSU8" s="449"/>
      <c r="MSV8" s="460"/>
      <c r="MSW8" s="460"/>
      <c r="MSX8" s="460"/>
      <c r="MSY8" s="460"/>
      <c r="MSZ8" s="460"/>
      <c r="MTA8" s="460"/>
      <c r="MTB8" s="450"/>
      <c r="MTC8" s="1857"/>
      <c r="MTD8" s="1857"/>
      <c r="MTE8" s="1857"/>
      <c r="MTF8" s="1857"/>
      <c r="MTG8" s="1857"/>
      <c r="MTH8" s="1857"/>
      <c r="MTI8" s="1857"/>
      <c r="MTJ8" s="1857"/>
      <c r="MTK8" s="1857"/>
      <c r="MTL8" s="1857"/>
      <c r="MTM8" s="1857"/>
      <c r="MTN8" s="1857"/>
      <c r="MTO8" s="1857"/>
      <c r="MTP8" s="454"/>
      <c r="MTQ8" s="1858"/>
      <c r="MTR8" s="449"/>
      <c r="MTS8" s="449"/>
      <c r="MTT8" s="449"/>
      <c r="MTU8" s="460"/>
      <c r="MTV8" s="460"/>
      <c r="MTW8" s="460"/>
      <c r="MTX8" s="460"/>
      <c r="MTY8" s="460"/>
      <c r="MTZ8" s="460"/>
      <c r="MUA8" s="450"/>
      <c r="MUB8" s="1857"/>
      <c r="MUC8" s="1857"/>
      <c r="MUD8" s="1857"/>
      <c r="MUE8" s="1857"/>
      <c r="MUF8" s="1857"/>
      <c r="MUG8" s="1857"/>
      <c r="MUH8" s="1857"/>
      <c r="MUI8" s="1857"/>
      <c r="MUJ8" s="1857"/>
      <c r="MUK8" s="1857"/>
      <c r="MUL8" s="1857"/>
      <c r="MUM8" s="1857"/>
      <c r="MUN8" s="1857"/>
      <c r="MUO8" s="454"/>
      <c r="MUP8" s="1858"/>
      <c r="MUQ8" s="449"/>
      <c r="MUR8" s="449"/>
      <c r="MUS8" s="449"/>
      <c r="MUT8" s="460"/>
      <c r="MUU8" s="460"/>
      <c r="MUV8" s="460"/>
      <c r="MUW8" s="460"/>
      <c r="MUX8" s="460"/>
      <c r="MUY8" s="460"/>
      <c r="MUZ8" s="450"/>
      <c r="MVA8" s="1857"/>
      <c r="MVB8" s="1857"/>
      <c r="MVC8" s="1857"/>
      <c r="MVD8" s="1857"/>
      <c r="MVE8" s="1857"/>
      <c r="MVF8" s="1857"/>
      <c r="MVG8" s="1857"/>
      <c r="MVH8" s="1857"/>
      <c r="MVI8" s="1857"/>
      <c r="MVJ8" s="1857"/>
      <c r="MVK8" s="1857"/>
      <c r="MVL8" s="1857"/>
      <c r="MVM8" s="1857"/>
      <c r="MVN8" s="454"/>
      <c r="MVO8" s="1858"/>
      <c r="MVP8" s="449"/>
      <c r="MVQ8" s="449"/>
      <c r="MVR8" s="449"/>
      <c r="MVS8" s="460"/>
      <c r="MVT8" s="460"/>
      <c r="MVU8" s="460"/>
      <c r="MVV8" s="460"/>
      <c r="MVW8" s="460"/>
      <c r="MVX8" s="460"/>
      <c r="MVY8" s="450"/>
      <c r="MVZ8" s="1857"/>
      <c r="MWA8" s="1857"/>
      <c r="MWB8" s="1857"/>
      <c r="MWC8" s="1857"/>
      <c r="MWD8" s="1857"/>
      <c r="MWE8" s="1857"/>
      <c r="MWF8" s="1857"/>
      <c r="MWG8" s="1857"/>
      <c r="MWH8" s="1857"/>
      <c r="MWI8" s="1857"/>
      <c r="MWJ8" s="1857"/>
      <c r="MWK8" s="1857"/>
      <c r="MWL8" s="1857"/>
      <c r="MWM8" s="454"/>
      <c r="MWN8" s="1858"/>
      <c r="MWO8" s="449"/>
      <c r="MWP8" s="449"/>
      <c r="MWQ8" s="449"/>
      <c r="MWR8" s="460"/>
      <c r="MWS8" s="460"/>
      <c r="MWT8" s="460"/>
      <c r="MWU8" s="460"/>
      <c r="MWV8" s="460"/>
      <c r="MWW8" s="460"/>
      <c r="MWX8" s="450"/>
      <c r="MWY8" s="1857"/>
      <c r="MWZ8" s="1857"/>
      <c r="MXA8" s="1857"/>
      <c r="MXB8" s="1857"/>
      <c r="MXC8" s="1857"/>
      <c r="MXD8" s="1857"/>
      <c r="MXE8" s="1857"/>
      <c r="MXF8" s="1857"/>
      <c r="MXG8" s="1857"/>
      <c r="MXH8" s="1857"/>
      <c r="MXI8" s="1857"/>
      <c r="MXJ8" s="1857"/>
      <c r="MXK8" s="1857"/>
      <c r="MXL8" s="454"/>
      <c r="MXM8" s="1858"/>
      <c r="MXN8" s="449"/>
      <c r="MXO8" s="449"/>
      <c r="MXP8" s="449"/>
      <c r="MXQ8" s="460"/>
      <c r="MXR8" s="460"/>
      <c r="MXS8" s="460"/>
      <c r="MXT8" s="460"/>
      <c r="MXU8" s="460"/>
      <c r="MXV8" s="460"/>
      <c r="MXW8" s="450"/>
      <c r="MXX8" s="1857"/>
      <c r="MXY8" s="1857"/>
      <c r="MXZ8" s="1857"/>
      <c r="MYA8" s="1857"/>
      <c r="MYB8" s="1857"/>
      <c r="MYC8" s="1857"/>
      <c r="MYD8" s="1857"/>
      <c r="MYE8" s="1857"/>
      <c r="MYF8" s="1857"/>
      <c r="MYG8" s="1857"/>
      <c r="MYH8" s="1857"/>
      <c r="MYI8" s="1857"/>
      <c r="MYJ8" s="1857"/>
      <c r="MYK8" s="454"/>
      <c r="MYL8" s="1858"/>
      <c r="MYM8" s="449"/>
      <c r="MYN8" s="449"/>
      <c r="MYO8" s="449"/>
      <c r="MYP8" s="460"/>
      <c r="MYQ8" s="460"/>
      <c r="MYR8" s="460"/>
      <c r="MYS8" s="460"/>
      <c r="MYT8" s="460"/>
      <c r="MYU8" s="460"/>
      <c r="MYV8" s="450"/>
      <c r="MYW8" s="1857"/>
      <c r="MYX8" s="1857"/>
      <c r="MYY8" s="1857"/>
      <c r="MYZ8" s="1857"/>
      <c r="MZA8" s="1857"/>
      <c r="MZB8" s="1857"/>
      <c r="MZC8" s="1857"/>
      <c r="MZD8" s="1857"/>
      <c r="MZE8" s="1857"/>
      <c r="MZF8" s="1857"/>
      <c r="MZG8" s="1857"/>
      <c r="MZH8" s="1857"/>
      <c r="MZI8" s="1857"/>
      <c r="MZJ8" s="454"/>
      <c r="MZK8" s="1858"/>
      <c r="MZL8" s="449"/>
      <c r="MZM8" s="449"/>
      <c r="MZN8" s="449"/>
      <c r="MZO8" s="460"/>
      <c r="MZP8" s="460"/>
      <c r="MZQ8" s="460"/>
      <c r="MZR8" s="460"/>
      <c r="MZS8" s="460"/>
      <c r="MZT8" s="460"/>
      <c r="MZU8" s="450"/>
      <c r="MZV8" s="1857"/>
      <c r="MZW8" s="1857"/>
      <c r="MZX8" s="1857"/>
      <c r="MZY8" s="1857"/>
      <c r="MZZ8" s="1857"/>
      <c r="NAA8" s="1857"/>
      <c r="NAB8" s="1857"/>
      <c r="NAC8" s="1857"/>
      <c r="NAD8" s="1857"/>
      <c r="NAE8" s="1857"/>
      <c r="NAF8" s="1857"/>
      <c r="NAG8" s="1857"/>
      <c r="NAH8" s="1857"/>
      <c r="NAI8" s="454"/>
      <c r="NAJ8" s="1858"/>
      <c r="NAK8" s="449"/>
      <c r="NAL8" s="449"/>
      <c r="NAM8" s="449"/>
      <c r="NAN8" s="460"/>
      <c r="NAO8" s="460"/>
      <c r="NAP8" s="460"/>
      <c r="NAQ8" s="460"/>
      <c r="NAR8" s="460"/>
      <c r="NAS8" s="460"/>
      <c r="NAT8" s="450"/>
      <c r="NAU8" s="1857"/>
      <c r="NAV8" s="1857"/>
      <c r="NAW8" s="1857"/>
      <c r="NAX8" s="1857"/>
      <c r="NAY8" s="1857"/>
      <c r="NAZ8" s="1857"/>
      <c r="NBA8" s="1857"/>
      <c r="NBB8" s="1857"/>
      <c r="NBC8" s="1857"/>
      <c r="NBD8" s="1857"/>
      <c r="NBE8" s="1857"/>
      <c r="NBF8" s="1857"/>
      <c r="NBG8" s="1857"/>
      <c r="NBH8" s="454"/>
      <c r="NBI8" s="1858"/>
      <c r="NBJ8" s="449"/>
      <c r="NBK8" s="449"/>
      <c r="NBL8" s="449"/>
      <c r="NBM8" s="460"/>
      <c r="NBN8" s="460"/>
      <c r="NBO8" s="460"/>
      <c r="NBP8" s="460"/>
      <c r="NBQ8" s="460"/>
      <c r="NBR8" s="460"/>
      <c r="NBS8" s="450"/>
      <c r="NBT8" s="1857"/>
      <c r="NBU8" s="1857"/>
      <c r="NBV8" s="1857"/>
      <c r="NBW8" s="1857"/>
      <c r="NBX8" s="1857"/>
      <c r="NBY8" s="1857"/>
      <c r="NBZ8" s="1857"/>
      <c r="NCA8" s="1857"/>
      <c r="NCB8" s="1857"/>
      <c r="NCC8" s="1857"/>
      <c r="NCD8" s="1857"/>
      <c r="NCE8" s="1857"/>
      <c r="NCF8" s="1857"/>
      <c r="NCG8" s="454"/>
      <c r="NCH8" s="1858"/>
      <c r="NCI8" s="449"/>
      <c r="NCJ8" s="449"/>
      <c r="NCK8" s="449"/>
      <c r="NCL8" s="460"/>
      <c r="NCM8" s="460"/>
      <c r="NCN8" s="460"/>
      <c r="NCO8" s="460"/>
      <c r="NCP8" s="460"/>
      <c r="NCQ8" s="460"/>
      <c r="NCR8" s="450"/>
      <c r="NCS8" s="1857"/>
      <c r="NCT8" s="1857"/>
      <c r="NCU8" s="1857"/>
      <c r="NCV8" s="1857"/>
      <c r="NCW8" s="1857"/>
      <c r="NCX8" s="1857"/>
      <c r="NCY8" s="1857"/>
      <c r="NCZ8" s="1857"/>
      <c r="NDA8" s="1857"/>
      <c r="NDB8" s="1857"/>
      <c r="NDC8" s="1857"/>
      <c r="NDD8" s="1857"/>
      <c r="NDE8" s="1857"/>
      <c r="NDF8" s="454"/>
      <c r="NDG8" s="1858"/>
      <c r="NDH8" s="449"/>
      <c r="NDI8" s="449"/>
      <c r="NDJ8" s="449"/>
      <c r="NDK8" s="460"/>
      <c r="NDL8" s="460"/>
      <c r="NDM8" s="460"/>
      <c r="NDN8" s="460"/>
      <c r="NDO8" s="460"/>
      <c r="NDP8" s="460"/>
      <c r="NDQ8" s="450"/>
      <c r="NDR8" s="1857"/>
      <c r="NDS8" s="1857"/>
      <c r="NDT8" s="1857"/>
      <c r="NDU8" s="1857"/>
      <c r="NDV8" s="1857"/>
      <c r="NDW8" s="1857"/>
      <c r="NDX8" s="1857"/>
      <c r="NDY8" s="1857"/>
      <c r="NDZ8" s="1857"/>
      <c r="NEA8" s="1857"/>
      <c r="NEB8" s="1857"/>
      <c r="NEC8" s="1857"/>
      <c r="NED8" s="1857"/>
      <c r="NEE8" s="454"/>
      <c r="NEF8" s="1858"/>
      <c r="NEG8" s="449"/>
      <c r="NEH8" s="449"/>
      <c r="NEI8" s="449"/>
      <c r="NEJ8" s="460"/>
      <c r="NEK8" s="460"/>
      <c r="NEL8" s="460"/>
      <c r="NEM8" s="460"/>
      <c r="NEN8" s="460"/>
      <c r="NEO8" s="460"/>
      <c r="NEP8" s="450"/>
      <c r="NEQ8" s="1857"/>
      <c r="NER8" s="1857"/>
      <c r="NES8" s="1857"/>
      <c r="NET8" s="1857"/>
      <c r="NEU8" s="1857"/>
      <c r="NEV8" s="1857"/>
      <c r="NEW8" s="1857"/>
      <c r="NEX8" s="1857"/>
      <c r="NEY8" s="1857"/>
      <c r="NEZ8" s="1857"/>
      <c r="NFA8" s="1857"/>
      <c r="NFB8" s="1857"/>
      <c r="NFC8" s="1857"/>
      <c r="NFD8" s="454"/>
      <c r="NFE8" s="1858"/>
      <c r="NFF8" s="449"/>
      <c r="NFG8" s="449"/>
      <c r="NFH8" s="449"/>
      <c r="NFI8" s="460"/>
      <c r="NFJ8" s="460"/>
      <c r="NFK8" s="460"/>
      <c r="NFL8" s="460"/>
      <c r="NFM8" s="460"/>
      <c r="NFN8" s="460"/>
      <c r="NFO8" s="450"/>
      <c r="NFP8" s="1857"/>
      <c r="NFQ8" s="1857"/>
      <c r="NFR8" s="1857"/>
      <c r="NFS8" s="1857"/>
      <c r="NFT8" s="1857"/>
      <c r="NFU8" s="1857"/>
      <c r="NFV8" s="1857"/>
      <c r="NFW8" s="1857"/>
      <c r="NFX8" s="1857"/>
      <c r="NFY8" s="1857"/>
      <c r="NFZ8" s="1857"/>
      <c r="NGA8" s="1857"/>
      <c r="NGB8" s="1857"/>
      <c r="NGC8" s="454"/>
      <c r="NGD8" s="1858"/>
      <c r="NGE8" s="449"/>
      <c r="NGF8" s="449"/>
      <c r="NGG8" s="449"/>
      <c r="NGH8" s="460"/>
      <c r="NGI8" s="460"/>
      <c r="NGJ8" s="460"/>
      <c r="NGK8" s="460"/>
      <c r="NGL8" s="460"/>
      <c r="NGM8" s="460"/>
      <c r="NGN8" s="450"/>
      <c r="NGO8" s="1857"/>
      <c r="NGP8" s="1857"/>
      <c r="NGQ8" s="1857"/>
      <c r="NGR8" s="1857"/>
      <c r="NGS8" s="1857"/>
      <c r="NGT8" s="1857"/>
      <c r="NGU8" s="1857"/>
      <c r="NGV8" s="1857"/>
      <c r="NGW8" s="1857"/>
      <c r="NGX8" s="1857"/>
      <c r="NGY8" s="1857"/>
      <c r="NGZ8" s="1857"/>
      <c r="NHA8" s="1857"/>
      <c r="NHB8" s="454"/>
      <c r="NHC8" s="1858"/>
      <c r="NHD8" s="449"/>
      <c r="NHE8" s="449"/>
      <c r="NHF8" s="449"/>
      <c r="NHG8" s="460"/>
      <c r="NHH8" s="460"/>
      <c r="NHI8" s="460"/>
      <c r="NHJ8" s="460"/>
      <c r="NHK8" s="460"/>
      <c r="NHL8" s="460"/>
      <c r="NHM8" s="450"/>
      <c r="NHN8" s="1857"/>
      <c r="NHO8" s="1857"/>
      <c r="NHP8" s="1857"/>
      <c r="NHQ8" s="1857"/>
      <c r="NHR8" s="1857"/>
      <c r="NHS8" s="1857"/>
      <c r="NHT8" s="1857"/>
      <c r="NHU8" s="1857"/>
      <c r="NHV8" s="1857"/>
      <c r="NHW8" s="1857"/>
      <c r="NHX8" s="1857"/>
      <c r="NHY8" s="1857"/>
      <c r="NHZ8" s="1857"/>
      <c r="NIA8" s="454"/>
      <c r="NIB8" s="1858"/>
      <c r="NIC8" s="449"/>
      <c r="NID8" s="449"/>
      <c r="NIE8" s="449"/>
      <c r="NIF8" s="460"/>
      <c r="NIG8" s="460"/>
      <c r="NIH8" s="460"/>
      <c r="NII8" s="460"/>
      <c r="NIJ8" s="460"/>
      <c r="NIK8" s="460"/>
      <c r="NIL8" s="450"/>
      <c r="NIM8" s="1857"/>
      <c r="NIN8" s="1857"/>
      <c r="NIO8" s="1857"/>
      <c r="NIP8" s="1857"/>
      <c r="NIQ8" s="1857"/>
      <c r="NIR8" s="1857"/>
      <c r="NIS8" s="1857"/>
      <c r="NIT8" s="1857"/>
      <c r="NIU8" s="1857"/>
      <c r="NIV8" s="1857"/>
      <c r="NIW8" s="1857"/>
      <c r="NIX8" s="1857"/>
      <c r="NIY8" s="1857"/>
      <c r="NIZ8" s="454"/>
      <c r="NJA8" s="1858"/>
      <c r="NJB8" s="449"/>
      <c r="NJC8" s="449"/>
      <c r="NJD8" s="449"/>
      <c r="NJE8" s="460"/>
      <c r="NJF8" s="460"/>
      <c r="NJG8" s="460"/>
      <c r="NJH8" s="460"/>
      <c r="NJI8" s="460"/>
      <c r="NJJ8" s="460"/>
      <c r="NJK8" s="450"/>
      <c r="NJL8" s="1857"/>
      <c r="NJM8" s="1857"/>
      <c r="NJN8" s="1857"/>
      <c r="NJO8" s="1857"/>
      <c r="NJP8" s="1857"/>
      <c r="NJQ8" s="1857"/>
      <c r="NJR8" s="1857"/>
      <c r="NJS8" s="1857"/>
      <c r="NJT8" s="1857"/>
      <c r="NJU8" s="1857"/>
      <c r="NJV8" s="1857"/>
      <c r="NJW8" s="1857"/>
      <c r="NJX8" s="1857"/>
      <c r="NJY8" s="454"/>
      <c r="NJZ8" s="1858"/>
      <c r="NKA8" s="449"/>
      <c r="NKB8" s="449"/>
      <c r="NKC8" s="449"/>
      <c r="NKD8" s="460"/>
      <c r="NKE8" s="460"/>
      <c r="NKF8" s="460"/>
      <c r="NKG8" s="460"/>
      <c r="NKH8" s="460"/>
      <c r="NKI8" s="460"/>
      <c r="NKJ8" s="450"/>
      <c r="NKK8" s="1857"/>
      <c r="NKL8" s="1857"/>
      <c r="NKM8" s="1857"/>
      <c r="NKN8" s="1857"/>
      <c r="NKO8" s="1857"/>
      <c r="NKP8" s="1857"/>
      <c r="NKQ8" s="1857"/>
      <c r="NKR8" s="1857"/>
      <c r="NKS8" s="1857"/>
      <c r="NKT8" s="1857"/>
      <c r="NKU8" s="1857"/>
      <c r="NKV8" s="1857"/>
      <c r="NKW8" s="1857"/>
      <c r="NKX8" s="454"/>
      <c r="NKY8" s="1858"/>
      <c r="NKZ8" s="449"/>
      <c r="NLA8" s="449"/>
      <c r="NLB8" s="449"/>
      <c r="NLC8" s="460"/>
      <c r="NLD8" s="460"/>
      <c r="NLE8" s="460"/>
      <c r="NLF8" s="460"/>
      <c r="NLG8" s="460"/>
      <c r="NLH8" s="460"/>
      <c r="NLI8" s="450"/>
      <c r="NLJ8" s="1857"/>
      <c r="NLK8" s="1857"/>
      <c r="NLL8" s="1857"/>
      <c r="NLM8" s="1857"/>
      <c r="NLN8" s="1857"/>
      <c r="NLO8" s="1857"/>
      <c r="NLP8" s="1857"/>
      <c r="NLQ8" s="1857"/>
      <c r="NLR8" s="1857"/>
      <c r="NLS8" s="1857"/>
      <c r="NLT8" s="1857"/>
      <c r="NLU8" s="1857"/>
      <c r="NLV8" s="1857"/>
      <c r="NLW8" s="454"/>
      <c r="NLX8" s="1858"/>
      <c r="NLY8" s="449"/>
      <c r="NLZ8" s="449"/>
      <c r="NMA8" s="449"/>
      <c r="NMB8" s="460"/>
      <c r="NMC8" s="460"/>
      <c r="NMD8" s="460"/>
      <c r="NME8" s="460"/>
      <c r="NMF8" s="460"/>
      <c r="NMG8" s="460"/>
      <c r="NMH8" s="450"/>
      <c r="NMI8" s="1857"/>
      <c r="NMJ8" s="1857"/>
      <c r="NMK8" s="1857"/>
      <c r="NML8" s="1857"/>
      <c r="NMM8" s="1857"/>
      <c r="NMN8" s="1857"/>
      <c r="NMO8" s="1857"/>
      <c r="NMP8" s="1857"/>
      <c r="NMQ8" s="1857"/>
      <c r="NMR8" s="1857"/>
      <c r="NMS8" s="1857"/>
      <c r="NMT8" s="1857"/>
      <c r="NMU8" s="1857"/>
      <c r="NMV8" s="454"/>
      <c r="NMW8" s="1858"/>
      <c r="NMX8" s="449"/>
      <c r="NMY8" s="449"/>
      <c r="NMZ8" s="449"/>
      <c r="NNA8" s="460"/>
      <c r="NNB8" s="460"/>
      <c r="NNC8" s="460"/>
      <c r="NND8" s="460"/>
      <c r="NNE8" s="460"/>
      <c r="NNF8" s="460"/>
      <c r="NNG8" s="450"/>
      <c r="NNH8" s="1857"/>
      <c r="NNI8" s="1857"/>
      <c r="NNJ8" s="1857"/>
      <c r="NNK8" s="1857"/>
      <c r="NNL8" s="1857"/>
      <c r="NNM8" s="1857"/>
      <c r="NNN8" s="1857"/>
      <c r="NNO8" s="1857"/>
      <c r="NNP8" s="1857"/>
      <c r="NNQ8" s="1857"/>
      <c r="NNR8" s="1857"/>
      <c r="NNS8" s="1857"/>
      <c r="NNT8" s="1857"/>
      <c r="NNU8" s="454"/>
      <c r="NNV8" s="1858"/>
      <c r="NNW8" s="449"/>
      <c r="NNX8" s="449"/>
      <c r="NNY8" s="449"/>
      <c r="NNZ8" s="460"/>
      <c r="NOA8" s="460"/>
      <c r="NOB8" s="460"/>
      <c r="NOC8" s="460"/>
      <c r="NOD8" s="460"/>
      <c r="NOE8" s="460"/>
      <c r="NOF8" s="450"/>
      <c r="NOG8" s="1857"/>
      <c r="NOH8" s="1857"/>
      <c r="NOI8" s="1857"/>
      <c r="NOJ8" s="1857"/>
      <c r="NOK8" s="1857"/>
      <c r="NOL8" s="1857"/>
      <c r="NOM8" s="1857"/>
      <c r="NON8" s="1857"/>
      <c r="NOO8" s="1857"/>
      <c r="NOP8" s="1857"/>
      <c r="NOQ8" s="1857"/>
      <c r="NOR8" s="1857"/>
      <c r="NOS8" s="1857"/>
      <c r="NOT8" s="454"/>
      <c r="NOU8" s="1858"/>
      <c r="NOV8" s="449"/>
      <c r="NOW8" s="449"/>
      <c r="NOX8" s="449"/>
      <c r="NOY8" s="460"/>
      <c r="NOZ8" s="460"/>
      <c r="NPA8" s="460"/>
      <c r="NPB8" s="460"/>
      <c r="NPC8" s="460"/>
      <c r="NPD8" s="460"/>
      <c r="NPE8" s="450"/>
      <c r="NPF8" s="1857"/>
      <c r="NPG8" s="1857"/>
      <c r="NPH8" s="1857"/>
      <c r="NPI8" s="1857"/>
      <c r="NPJ8" s="1857"/>
      <c r="NPK8" s="1857"/>
      <c r="NPL8" s="1857"/>
      <c r="NPM8" s="1857"/>
      <c r="NPN8" s="1857"/>
      <c r="NPO8" s="1857"/>
      <c r="NPP8" s="1857"/>
      <c r="NPQ8" s="1857"/>
      <c r="NPR8" s="1857"/>
      <c r="NPS8" s="454"/>
      <c r="NPT8" s="1858"/>
      <c r="NPU8" s="449"/>
      <c r="NPV8" s="449"/>
      <c r="NPW8" s="449"/>
      <c r="NPX8" s="460"/>
      <c r="NPY8" s="460"/>
      <c r="NPZ8" s="460"/>
      <c r="NQA8" s="460"/>
      <c r="NQB8" s="460"/>
      <c r="NQC8" s="460"/>
      <c r="NQD8" s="450"/>
      <c r="NQE8" s="1857"/>
      <c r="NQF8" s="1857"/>
      <c r="NQG8" s="1857"/>
      <c r="NQH8" s="1857"/>
      <c r="NQI8" s="1857"/>
      <c r="NQJ8" s="1857"/>
      <c r="NQK8" s="1857"/>
      <c r="NQL8" s="1857"/>
      <c r="NQM8" s="1857"/>
      <c r="NQN8" s="1857"/>
      <c r="NQO8" s="1857"/>
      <c r="NQP8" s="1857"/>
      <c r="NQQ8" s="1857"/>
      <c r="NQR8" s="454"/>
      <c r="NQS8" s="1858"/>
      <c r="NQT8" s="449"/>
      <c r="NQU8" s="449"/>
      <c r="NQV8" s="449"/>
      <c r="NQW8" s="460"/>
      <c r="NQX8" s="460"/>
      <c r="NQY8" s="460"/>
      <c r="NQZ8" s="460"/>
      <c r="NRA8" s="460"/>
      <c r="NRB8" s="460"/>
      <c r="NRC8" s="450"/>
      <c r="NRD8" s="1857"/>
      <c r="NRE8" s="1857"/>
      <c r="NRF8" s="1857"/>
      <c r="NRG8" s="1857"/>
      <c r="NRH8" s="1857"/>
      <c r="NRI8" s="1857"/>
      <c r="NRJ8" s="1857"/>
      <c r="NRK8" s="1857"/>
      <c r="NRL8" s="1857"/>
      <c r="NRM8" s="1857"/>
      <c r="NRN8" s="1857"/>
      <c r="NRO8" s="1857"/>
      <c r="NRP8" s="1857"/>
      <c r="NRQ8" s="454"/>
      <c r="NRR8" s="1858"/>
      <c r="NRS8" s="449"/>
      <c r="NRT8" s="449"/>
      <c r="NRU8" s="449"/>
      <c r="NRV8" s="460"/>
      <c r="NRW8" s="460"/>
      <c r="NRX8" s="460"/>
      <c r="NRY8" s="460"/>
      <c r="NRZ8" s="460"/>
      <c r="NSA8" s="460"/>
      <c r="NSB8" s="450"/>
      <c r="NSC8" s="1857"/>
      <c r="NSD8" s="1857"/>
      <c r="NSE8" s="1857"/>
      <c r="NSF8" s="1857"/>
      <c r="NSG8" s="1857"/>
      <c r="NSH8" s="1857"/>
      <c r="NSI8" s="1857"/>
      <c r="NSJ8" s="1857"/>
      <c r="NSK8" s="1857"/>
      <c r="NSL8" s="1857"/>
      <c r="NSM8" s="1857"/>
      <c r="NSN8" s="1857"/>
      <c r="NSO8" s="1857"/>
      <c r="NSP8" s="454"/>
      <c r="NSQ8" s="1858"/>
      <c r="NSR8" s="449"/>
      <c r="NSS8" s="449"/>
      <c r="NST8" s="449"/>
      <c r="NSU8" s="460"/>
      <c r="NSV8" s="460"/>
      <c r="NSW8" s="460"/>
      <c r="NSX8" s="460"/>
      <c r="NSY8" s="460"/>
      <c r="NSZ8" s="460"/>
      <c r="NTA8" s="450"/>
      <c r="NTB8" s="1857"/>
      <c r="NTC8" s="1857"/>
      <c r="NTD8" s="1857"/>
      <c r="NTE8" s="1857"/>
      <c r="NTF8" s="1857"/>
      <c r="NTG8" s="1857"/>
      <c r="NTH8" s="1857"/>
      <c r="NTI8" s="1857"/>
      <c r="NTJ8" s="1857"/>
      <c r="NTK8" s="1857"/>
      <c r="NTL8" s="1857"/>
      <c r="NTM8" s="1857"/>
      <c r="NTN8" s="1857"/>
      <c r="NTO8" s="454"/>
      <c r="NTP8" s="1858"/>
      <c r="NTQ8" s="449"/>
      <c r="NTR8" s="449"/>
      <c r="NTS8" s="449"/>
      <c r="NTT8" s="460"/>
      <c r="NTU8" s="460"/>
      <c r="NTV8" s="460"/>
      <c r="NTW8" s="460"/>
      <c r="NTX8" s="460"/>
      <c r="NTY8" s="460"/>
      <c r="NTZ8" s="450"/>
      <c r="NUA8" s="1857"/>
      <c r="NUB8" s="1857"/>
      <c r="NUC8" s="1857"/>
      <c r="NUD8" s="1857"/>
      <c r="NUE8" s="1857"/>
      <c r="NUF8" s="1857"/>
      <c r="NUG8" s="1857"/>
      <c r="NUH8" s="1857"/>
      <c r="NUI8" s="1857"/>
      <c r="NUJ8" s="1857"/>
      <c r="NUK8" s="1857"/>
      <c r="NUL8" s="1857"/>
      <c r="NUM8" s="1857"/>
      <c r="NUN8" s="454"/>
      <c r="NUO8" s="1858"/>
      <c r="NUP8" s="449"/>
      <c r="NUQ8" s="449"/>
      <c r="NUR8" s="449"/>
      <c r="NUS8" s="460"/>
      <c r="NUT8" s="460"/>
      <c r="NUU8" s="460"/>
      <c r="NUV8" s="460"/>
      <c r="NUW8" s="460"/>
      <c r="NUX8" s="460"/>
      <c r="NUY8" s="450"/>
      <c r="NUZ8" s="1857"/>
      <c r="NVA8" s="1857"/>
      <c r="NVB8" s="1857"/>
      <c r="NVC8" s="1857"/>
      <c r="NVD8" s="1857"/>
      <c r="NVE8" s="1857"/>
      <c r="NVF8" s="1857"/>
      <c r="NVG8" s="1857"/>
      <c r="NVH8" s="1857"/>
      <c r="NVI8" s="1857"/>
      <c r="NVJ8" s="1857"/>
      <c r="NVK8" s="1857"/>
      <c r="NVL8" s="1857"/>
      <c r="NVM8" s="454"/>
      <c r="NVN8" s="1858"/>
      <c r="NVO8" s="449"/>
      <c r="NVP8" s="449"/>
      <c r="NVQ8" s="449"/>
      <c r="NVR8" s="460"/>
      <c r="NVS8" s="460"/>
      <c r="NVT8" s="460"/>
      <c r="NVU8" s="460"/>
      <c r="NVV8" s="460"/>
      <c r="NVW8" s="460"/>
      <c r="NVX8" s="450"/>
      <c r="NVY8" s="1857"/>
      <c r="NVZ8" s="1857"/>
      <c r="NWA8" s="1857"/>
      <c r="NWB8" s="1857"/>
      <c r="NWC8" s="1857"/>
      <c r="NWD8" s="1857"/>
      <c r="NWE8" s="1857"/>
      <c r="NWF8" s="1857"/>
      <c r="NWG8" s="1857"/>
      <c r="NWH8" s="1857"/>
      <c r="NWI8" s="1857"/>
      <c r="NWJ8" s="1857"/>
      <c r="NWK8" s="1857"/>
      <c r="NWL8" s="454"/>
      <c r="NWM8" s="1858"/>
      <c r="NWN8" s="449"/>
      <c r="NWO8" s="449"/>
      <c r="NWP8" s="449"/>
      <c r="NWQ8" s="460"/>
      <c r="NWR8" s="460"/>
      <c r="NWS8" s="460"/>
      <c r="NWT8" s="460"/>
      <c r="NWU8" s="460"/>
      <c r="NWV8" s="460"/>
      <c r="NWW8" s="450"/>
      <c r="NWX8" s="1857"/>
      <c r="NWY8" s="1857"/>
      <c r="NWZ8" s="1857"/>
      <c r="NXA8" s="1857"/>
      <c r="NXB8" s="1857"/>
      <c r="NXC8" s="1857"/>
      <c r="NXD8" s="1857"/>
      <c r="NXE8" s="1857"/>
      <c r="NXF8" s="1857"/>
      <c r="NXG8" s="1857"/>
      <c r="NXH8" s="1857"/>
      <c r="NXI8" s="1857"/>
      <c r="NXJ8" s="1857"/>
      <c r="NXK8" s="454"/>
      <c r="NXL8" s="1858"/>
      <c r="NXM8" s="449"/>
      <c r="NXN8" s="449"/>
      <c r="NXO8" s="449"/>
      <c r="NXP8" s="460"/>
      <c r="NXQ8" s="460"/>
      <c r="NXR8" s="460"/>
      <c r="NXS8" s="460"/>
      <c r="NXT8" s="460"/>
      <c r="NXU8" s="460"/>
      <c r="NXV8" s="450"/>
      <c r="NXW8" s="1857"/>
      <c r="NXX8" s="1857"/>
      <c r="NXY8" s="1857"/>
      <c r="NXZ8" s="1857"/>
      <c r="NYA8" s="1857"/>
      <c r="NYB8" s="1857"/>
      <c r="NYC8" s="1857"/>
      <c r="NYD8" s="1857"/>
      <c r="NYE8" s="1857"/>
      <c r="NYF8" s="1857"/>
      <c r="NYG8" s="1857"/>
      <c r="NYH8" s="1857"/>
      <c r="NYI8" s="1857"/>
      <c r="NYJ8" s="454"/>
      <c r="NYK8" s="1858"/>
      <c r="NYL8" s="449"/>
      <c r="NYM8" s="449"/>
      <c r="NYN8" s="449"/>
      <c r="NYO8" s="460"/>
      <c r="NYP8" s="460"/>
      <c r="NYQ8" s="460"/>
      <c r="NYR8" s="460"/>
      <c r="NYS8" s="460"/>
      <c r="NYT8" s="460"/>
      <c r="NYU8" s="450"/>
      <c r="NYV8" s="1857"/>
      <c r="NYW8" s="1857"/>
      <c r="NYX8" s="1857"/>
      <c r="NYY8" s="1857"/>
      <c r="NYZ8" s="1857"/>
      <c r="NZA8" s="1857"/>
      <c r="NZB8" s="1857"/>
      <c r="NZC8" s="1857"/>
      <c r="NZD8" s="1857"/>
      <c r="NZE8" s="1857"/>
      <c r="NZF8" s="1857"/>
      <c r="NZG8" s="1857"/>
      <c r="NZH8" s="1857"/>
      <c r="NZI8" s="454"/>
      <c r="NZJ8" s="1858"/>
      <c r="NZK8" s="449"/>
      <c r="NZL8" s="449"/>
      <c r="NZM8" s="449"/>
      <c r="NZN8" s="460"/>
      <c r="NZO8" s="460"/>
      <c r="NZP8" s="460"/>
      <c r="NZQ8" s="460"/>
      <c r="NZR8" s="460"/>
      <c r="NZS8" s="460"/>
      <c r="NZT8" s="450"/>
      <c r="NZU8" s="1857"/>
      <c r="NZV8" s="1857"/>
      <c r="NZW8" s="1857"/>
      <c r="NZX8" s="1857"/>
      <c r="NZY8" s="1857"/>
      <c r="NZZ8" s="1857"/>
      <c r="OAA8" s="1857"/>
      <c r="OAB8" s="1857"/>
      <c r="OAC8" s="1857"/>
      <c r="OAD8" s="1857"/>
      <c r="OAE8" s="1857"/>
      <c r="OAF8" s="1857"/>
      <c r="OAG8" s="1857"/>
      <c r="OAH8" s="454"/>
      <c r="OAI8" s="1858"/>
      <c r="OAJ8" s="449"/>
      <c r="OAK8" s="449"/>
      <c r="OAL8" s="449"/>
      <c r="OAM8" s="460"/>
      <c r="OAN8" s="460"/>
      <c r="OAO8" s="460"/>
      <c r="OAP8" s="460"/>
      <c r="OAQ8" s="460"/>
      <c r="OAR8" s="460"/>
      <c r="OAS8" s="450"/>
      <c r="OAT8" s="1857"/>
      <c r="OAU8" s="1857"/>
      <c r="OAV8" s="1857"/>
      <c r="OAW8" s="1857"/>
      <c r="OAX8" s="1857"/>
      <c r="OAY8" s="1857"/>
      <c r="OAZ8" s="1857"/>
      <c r="OBA8" s="1857"/>
      <c r="OBB8" s="1857"/>
      <c r="OBC8" s="1857"/>
      <c r="OBD8" s="1857"/>
      <c r="OBE8" s="1857"/>
      <c r="OBF8" s="1857"/>
      <c r="OBG8" s="454"/>
      <c r="OBH8" s="1858"/>
      <c r="OBI8" s="449"/>
      <c r="OBJ8" s="449"/>
      <c r="OBK8" s="449"/>
      <c r="OBL8" s="460"/>
      <c r="OBM8" s="460"/>
      <c r="OBN8" s="460"/>
      <c r="OBO8" s="460"/>
      <c r="OBP8" s="460"/>
      <c r="OBQ8" s="460"/>
      <c r="OBR8" s="450"/>
      <c r="OBS8" s="1857"/>
      <c r="OBT8" s="1857"/>
      <c r="OBU8" s="1857"/>
      <c r="OBV8" s="1857"/>
      <c r="OBW8" s="1857"/>
      <c r="OBX8" s="1857"/>
      <c r="OBY8" s="1857"/>
      <c r="OBZ8" s="1857"/>
      <c r="OCA8" s="1857"/>
      <c r="OCB8" s="1857"/>
      <c r="OCC8" s="1857"/>
      <c r="OCD8" s="1857"/>
      <c r="OCE8" s="1857"/>
      <c r="OCF8" s="454"/>
      <c r="OCG8" s="1858"/>
      <c r="OCH8" s="449"/>
      <c r="OCI8" s="449"/>
      <c r="OCJ8" s="449"/>
      <c r="OCK8" s="460"/>
      <c r="OCL8" s="460"/>
      <c r="OCM8" s="460"/>
      <c r="OCN8" s="460"/>
      <c r="OCO8" s="460"/>
      <c r="OCP8" s="460"/>
      <c r="OCQ8" s="450"/>
      <c r="OCR8" s="1857"/>
      <c r="OCS8" s="1857"/>
      <c r="OCT8" s="1857"/>
      <c r="OCU8" s="1857"/>
      <c r="OCV8" s="1857"/>
      <c r="OCW8" s="1857"/>
      <c r="OCX8" s="1857"/>
      <c r="OCY8" s="1857"/>
      <c r="OCZ8" s="1857"/>
      <c r="ODA8" s="1857"/>
      <c r="ODB8" s="1857"/>
      <c r="ODC8" s="1857"/>
      <c r="ODD8" s="1857"/>
      <c r="ODE8" s="454"/>
      <c r="ODF8" s="1858"/>
      <c r="ODG8" s="449"/>
      <c r="ODH8" s="449"/>
      <c r="ODI8" s="449"/>
      <c r="ODJ8" s="460"/>
      <c r="ODK8" s="460"/>
      <c r="ODL8" s="460"/>
      <c r="ODM8" s="460"/>
      <c r="ODN8" s="460"/>
      <c r="ODO8" s="460"/>
      <c r="ODP8" s="450"/>
      <c r="ODQ8" s="1857"/>
      <c r="ODR8" s="1857"/>
      <c r="ODS8" s="1857"/>
      <c r="ODT8" s="1857"/>
      <c r="ODU8" s="1857"/>
      <c r="ODV8" s="1857"/>
      <c r="ODW8" s="1857"/>
      <c r="ODX8" s="1857"/>
      <c r="ODY8" s="1857"/>
      <c r="ODZ8" s="1857"/>
      <c r="OEA8" s="1857"/>
      <c r="OEB8" s="1857"/>
      <c r="OEC8" s="1857"/>
      <c r="OED8" s="454"/>
      <c r="OEE8" s="1858"/>
      <c r="OEF8" s="449"/>
      <c r="OEG8" s="449"/>
      <c r="OEH8" s="449"/>
      <c r="OEI8" s="460"/>
      <c r="OEJ8" s="460"/>
      <c r="OEK8" s="460"/>
      <c r="OEL8" s="460"/>
      <c r="OEM8" s="460"/>
      <c r="OEN8" s="460"/>
      <c r="OEO8" s="450"/>
      <c r="OEP8" s="1857"/>
      <c r="OEQ8" s="1857"/>
      <c r="OER8" s="1857"/>
      <c r="OES8" s="1857"/>
      <c r="OET8" s="1857"/>
      <c r="OEU8" s="1857"/>
      <c r="OEV8" s="1857"/>
      <c r="OEW8" s="1857"/>
      <c r="OEX8" s="1857"/>
      <c r="OEY8" s="1857"/>
      <c r="OEZ8" s="1857"/>
      <c r="OFA8" s="1857"/>
      <c r="OFB8" s="1857"/>
      <c r="OFC8" s="454"/>
      <c r="OFD8" s="1858"/>
      <c r="OFE8" s="449"/>
      <c r="OFF8" s="449"/>
      <c r="OFG8" s="449"/>
      <c r="OFH8" s="460"/>
      <c r="OFI8" s="460"/>
      <c r="OFJ8" s="460"/>
      <c r="OFK8" s="460"/>
      <c r="OFL8" s="460"/>
      <c r="OFM8" s="460"/>
      <c r="OFN8" s="450"/>
      <c r="OFO8" s="1857"/>
      <c r="OFP8" s="1857"/>
      <c r="OFQ8" s="1857"/>
      <c r="OFR8" s="1857"/>
      <c r="OFS8" s="1857"/>
      <c r="OFT8" s="1857"/>
      <c r="OFU8" s="1857"/>
      <c r="OFV8" s="1857"/>
      <c r="OFW8" s="1857"/>
      <c r="OFX8" s="1857"/>
      <c r="OFY8" s="1857"/>
      <c r="OFZ8" s="1857"/>
      <c r="OGA8" s="1857"/>
      <c r="OGB8" s="454"/>
      <c r="OGC8" s="1858"/>
      <c r="OGD8" s="449"/>
      <c r="OGE8" s="449"/>
      <c r="OGF8" s="449"/>
      <c r="OGG8" s="460"/>
      <c r="OGH8" s="460"/>
      <c r="OGI8" s="460"/>
      <c r="OGJ8" s="460"/>
      <c r="OGK8" s="460"/>
      <c r="OGL8" s="460"/>
      <c r="OGM8" s="450"/>
      <c r="OGN8" s="1857"/>
      <c r="OGO8" s="1857"/>
      <c r="OGP8" s="1857"/>
      <c r="OGQ8" s="1857"/>
      <c r="OGR8" s="1857"/>
      <c r="OGS8" s="1857"/>
      <c r="OGT8" s="1857"/>
      <c r="OGU8" s="1857"/>
      <c r="OGV8" s="1857"/>
      <c r="OGW8" s="1857"/>
      <c r="OGX8" s="1857"/>
      <c r="OGY8" s="1857"/>
      <c r="OGZ8" s="1857"/>
      <c r="OHA8" s="454"/>
      <c r="OHB8" s="1858"/>
      <c r="OHC8" s="449"/>
      <c r="OHD8" s="449"/>
      <c r="OHE8" s="449"/>
      <c r="OHF8" s="460"/>
      <c r="OHG8" s="460"/>
      <c r="OHH8" s="460"/>
      <c r="OHI8" s="460"/>
      <c r="OHJ8" s="460"/>
      <c r="OHK8" s="460"/>
      <c r="OHL8" s="450"/>
      <c r="OHM8" s="1857"/>
      <c r="OHN8" s="1857"/>
      <c r="OHO8" s="1857"/>
      <c r="OHP8" s="1857"/>
      <c r="OHQ8" s="1857"/>
      <c r="OHR8" s="1857"/>
      <c r="OHS8" s="1857"/>
      <c r="OHT8" s="1857"/>
      <c r="OHU8" s="1857"/>
      <c r="OHV8" s="1857"/>
      <c r="OHW8" s="1857"/>
      <c r="OHX8" s="1857"/>
      <c r="OHY8" s="1857"/>
      <c r="OHZ8" s="454"/>
      <c r="OIA8" s="1858"/>
      <c r="OIB8" s="449"/>
      <c r="OIC8" s="449"/>
      <c r="OID8" s="449"/>
      <c r="OIE8" s="460"/>
      <c r="OIF8" s="460"/>
      <c r="OIG8" s="460"/>
      <c r="OIH8" s="460"/>
      <c r="OII8" s="460"/>
      <c r="OIJ8" s="460"/>
      <c r="OIK8" s="450"/>
      <c r="OIL8" s="1857"/>
      <c r="OIM8" s="1857"/>
      <c r="OIN8" s="1857"/>
      <c r="OIO8" s="1857"/>
      <c r="OIP8" s="1857"/>
      <c r="OIQ8" s="1857"/>
      <c r="OIR8" s="1857"/>
      <c r="OIS8" s="1857"/>
      <c r="OIT8" s="1857"/>
      <c r="OIU8" s="1857"/>
      <c r="OIV8" s="1857"/>
      <c r="OIW8" s="1857"/>
      <c r="OIX8" s="1857"/>
      <c r="OIY8" s="454"/>
      <c r="OIZ8" s="1858"/>
      <c r="OJA8" s="449"/>
      <c r="OJB8" s="449"/>
      <c r="OJC8" s="449"/>
      <c r="OJD8" s="460"/>
      <c r="OJE8" s="460"/>
      <c r="OJF8" s="460"/>
      <c r="OJG8" s="460"/>
      <c r="OJH8" s="460"/>
      <c r="OJI8" s="460"/>
      <c r="OJJ8" s="450"/>
      <c r="OJK8" s="1857"/>
      <c r="OJL8" s="1857"/>
      <c r="OJM8" s="1857"/>
      <c r="OJN8" s="1857"/>
      <c r="OJO8" s="1857"/>
      <c r="OJP8" s="1857"/>
      <c r="OJQ8" s="1857"/>
      <c r="OJR8" s="1857"/>
      <c r="OJS8" s="1857"/>
      <c r="OJT8" s="1857"/>
      <c r="OJU8" s="1857"/>
      <c r="OJV8" s="1857"/>
      <c r="OJW8" s="1857"/>
      <c r="OJX8" s="454"/>
      <c r="OJY8" s="1858"/>
      <c r="OJZ8" s="449"/>
      <c r="OKA8" s="449"/>
      <c r="OKB8" s="449"/>
      <c r="OKC8" s="460"/>
      <c r="OKD8" s="460"/>
      <c r="OKE8" s="460"/>
      <c r="OKF8" s="460"/>
      <c r="OKG8" s="460"/>
      <c r="OKH8" s="460"/>
      <c r="OKI8" s="450"/>
      <c r="OKJ8" s="1857"/>
      <c r="OKK8" s="1857"/>
      <c r="OKL8" s="1857"/>
      <c r="OKM8" s="1857"/>
      <c r="OKN8" s="1857"/>
      <c r="OKO8" s="1857"/>
      <c r="OKP8" s="1857"/>
      <c r="OKQ8" s="1857"/>
      <c r="OKR8" s="1857"/>
      <c r="OKS8" s="1857"/>
      <c r="OKT8" s="1857"/>
      <c r="OKU8" s="1857"/>
      <c r="OKV8" s="1857"/>
      <c r="OKW8" s="454"/>
      <c r="OKX8" s="1858"/>
      <c r="OKY8" s="449"/>
      <c r="OKZ8" s="449"/>
      <c r="OLA8" s="449"/>
      <c r="OLB8" s="460"/>
      <c r="OLC8" s="460"/>
      <c r="OLD8" s="460"/>
      <c r="OLE8" s="460"/>
      <c r="OLF8" s="460"/>
      <c r="OLG8" s="460"/>
      <c r="OLH8" s="450"/>
      <c r="OLI8" s="1857"/>
      <c r="OLJ8" s="1857"/>
      <c r="OLK8" s="1857"/>
      <c r="OLL8" s="1857"/>
      <c r="OLM8" s="1857"/>
      <c r="OLN8" s="1857"/>
      <c r="OLO8" s="1857"/>
      <c r="OLP8" s="1857"/>
      <c r="OLQ8" s="1857"/>
      <c r="OLR8" s="1857"/>
      <c r="OLS8" s="1857"/>
      <c r="OLT8" s="1857"/>
      <c r="OLU8" s="1857"/>
      <c r="OLV8" s="454"/>
      <c r="OLW8" s="1858"/>
      <c r="OLX8" s="449"/>
      <c r="OLY8" s="449"/>
      <c r="OLZ8" s="449"/>
      <c r="OMA8" s="460"/>
      <c r="OMB8" s="460"/>
      <c r="OMC8" s="460"/>
      <c r="OMD8" s="460"/>
      <c r="OME8" s="460"/>
      <c r="OMF8" s="460"/>
      <c r="OMG8" s="450"/>
      <c r="OMH8" s="1857"/>
      <c r="OMI8" s="1857"/>
      <c r="OMJ8" s="1857"/>
      <c r="OMK8" s="1857"/>
      <c r="OML8" s="1857"/>
      <c r="OMM8" s="1857"/>
      <c r="OMN8" s="1857"/>
      <c r="OMO8" s="1857"/>
      <c r="OMP8" s="1857"/>
      <c r="OMQ8" s="1857"/>
      <c r="OMR8" s="1857"/>
      <c r="OMS8" s="1857"/>
      <c r="OMT8" s="1857"/>
      <c r="OMU8" s="454"/>
      <c r="OMV8" s="1858"/>
      <c r="OMW8" s="449"/>
      <c r="OMX8" s="449"/>
      <c r="OMY8" s="449"/>
      <c r="OMZ8" s="460"/>
      <c r="ONA8" s="460"/>
      <c r="ONB8" s="460"/>
      <c r="ONC8" s="460"/>
      <c r="OND8" s="460"/>
      <c r="ONE8" s="460"/>
      <c r="ONF8" s="450"/>
      <c r="ONG8" s="1857"/>
      <c r="ONH8" s="1857"/>
      <c r="ONI8" s="1857"/>
      <c r="ONJ8" s="1857"/>
      <c r="ONK8" s="1857"/>
      <c r="ONL8" s="1857"/>
      <c r="ONM8" s="1857"/>
      <c r="ONN8" s="1857"/>
      <c r="ONO8" s="1857"/>
      <c r="ONP8" s="1857"/>
      <c r="ONQ8" s="1857"/>
      <c r="ONR8" s="1857"/>
      <c r="ONS8" s="1857"/>
      <c r="ONT8" s="454"/>
      <c r="ONU8" s="1858"/>
      <c r="ONV8" s="449"/>
      <c r="ONW8" s="449"/>
      <c r="ONX8" s="449"/>
      <c r="ONY8" s="460"/>
      <c r="ONZ8" s="460"/>
      <c r="OOA8" s="460"/>
      <c r="OOB8" s="460"/>
      <c r="OOC8" s="460"/>
      <c r="OOD8" s="460"/>
      <c r="OOE8" s="450"/>
      <c r="OOF8" s="1857"/>
      <c r="OOG8" s="1857"/>
      <c r="OOH8" s="1857"/>
      <c r="OOI8" s="1857"/>
      <c r="OOJ8" s="1857"/>
      <c r="OOK8" s="1857"/>
      <c r="OOL8" s="1857"/>
      <c r="OOM8" s="1857"/>
      <c r="OON8" s="1857"/>
      <c r="OOO8" s="1857"/>
      <c r="OOP8" s="1857"/>
      <c r="OOQ8" s="1857"/>
      <c r="OOR8" s="1857"/>
      <c r="OOS8" s="454"/>
      <c r="OOT8" s="1858"/>
      <c r="OOU8" s="449"/>
      <c r="OOV8" s="449"/>
      <c r="OOW8" s="449"/>
      <c r="OOX8" s="460"/>
      <c r="OOY8" s="460"/>
      <c r="OOZ8" s="460"/>
      <c r="OPA8" s="460"/>
      <c r="OPB8" s="460"/>
      <c r="OPC8" s="460"/>
      <c r="OPD8" s="450"/>
      <c r="OPE8" s="1857"/>
      <c r="OPF8" s="1857"/>
      <c r="OPG8" s="1857"/>
      <c r="OPH8" s="1857"/>
      <c r="OPI8" s="1857"/>
      <c r="OPJ8" s="1857"/>
      <c r="OPK8" s="1857"/>
      <c r="OPL8" s="1857"/>
      <c r="OPM8" s="1857"/>
      <c r="OPN8" s="1857"/>
      <c r="OPO8" s="1857"/>
      <c r="OPP8" s="1857"/>
      <c r="OPQ8" s="1857"/>
      <c r="OPR8" s="454"/>
      <c r="OPS8" s="1858"/>
      <c r="OPT8" s="449"/>
      <c r="OPU8" s="449"/>
      <c r="OPV8" s="449"/>
      <c r="OPW8" s="460"/>
      <c r="OPX8" s="460"/>
      <c r="OPY8" s="460"/>
      <c r="OPZ8" s="460"/>
      <c r="OQA8" s="460"/>
      <c r="OQB8" s="460"/>
      <c r="OQC8" s="450"/>
      <c r="OQD8" s="1857"/>
      <c r="OQE8" s="1857"/>
      <c r="OQF8" s="1857"/>
      <c r="OQG8" s="1857"/>
      <c r="OQH8" s="1857"/>
      <c r="OQI8" s="1857"/>
      <c r="OQJ8" s="1857"/>
      <c r="OQK8" s="1857"/>
      <c r="OQL8" s="1857"/>
      <c r="OQM8" s="1857"/>
      <c r="OQN8" s="1857"/>
      <c r="OQO8" s="1857"/>
      <c r="OQP8" s="1857"/>
      <c r="OQQ8" s="454"/>
      <c r="OQR8" s="1858"/>
      <c r="OQS8" s="449"/>
      <c r="OQT8" s="449"/>
      <c r="OQU8" s="449"/>
      <c r="OQV8" s="460"/>
      <c r="OQW8" s="460"/>
      <c r="OQX8" s="460"/>
      <c r="OQY8" s="460"/>
      <c r="OQZ8" s="460"/>
      <c r="ORA8" s="460"/>
      <c r="ORB8" s="450"/>
      <c r="ORC8" s="1857"/>
      <c r="ORD8" s="1857"/>
      <c r="ORE8" s="1857"/>
      <c r="ORF8" s="1857"/>
      <c r="ORG8" s="1857"/>
      <c r="ORH8" s="1857"/>
      <c r="ORI8" s="1857"/>
      <c r="ORJ8" s="1857"/>
      <c r="ORK8" s="1857"/>
      <c r="ORL8" s="1857"/>
      <c r="ORM8" s="1857"/>
      <c r="ORN8" s="1857"/>
      <c r="ORO8" s="1857"/>
      <c r="ORP8" s="454"/>
      <c r="ORQ8" s="1858"/>
      <c r="ORR8" s="449"/>
      <c r="ORS8" s="449"/>
      <c r="ORT8" s="449"/>
      <c r="ORU8" s="460"/>
      <c r="ORV8" s="460"/>
      <c r="ORW8" s="460"/>
      <c r="ORX8" s="460"/>
      <c r="ORY8" s="460"/>
      <c r="ORZ8" s="460"/>
      <c r="OSA8" s="450"/>
      <c r="OSB8" s="1857"/>
      <c r="OSC8" s="1857"/>
      <c r="OSD8" s="1857"/>
      <c r="OSE8" s="1857"/>
      <c r="OSF8" s="1857"/>
      <c r="OSG8" s="1857"/>
      <c r="OSH8" s="1857"/>
      <c r="OSI8" s="1857"/>
      <c r="OSJ8" s="1857"/>
      <c r="OSK8" s="1857"/>
      <c r="OSL8" s="1857"/>
      <c r="OSM8" s="1857"/>
      <c r="OSN8" s="1857"/>
      <c r="OSO8" s="454"/>
      <c r="OSP8" s="1858"/>
      <c r="OSQ8" s="449"/>
      <c r="OSR8" s="449"/>
      <c r="OSS8" s="449"/>
      <c r="OST8" s="460"/>
      <c r="OSU8" s="460"/>
      <c r="OSV8" s="460"/>
      <c r="OSW8" s="460"/>
      <c r="OSX8" s="460"/>
      <c r="OSY8" s="460"/>
      <c r="OSZ8" s="450"/>
      <c r="OTA8" s="1857"/>
      <c r="OTB8" s="1857"/>
      <c r="OTC8" s="1857"/>
      <c r="OTD8" s="1857"/>
      <c r="OTE8" s="1857"/>
      <c r="OTF8" s="1857"/>
      <c r="OTG8" s="1857"/>
      <c r="OTH8" s="1857"/>
      <c r="OTI8" s="1857"/>
      <c r="OTJ8" s="1857"/>
      <c r="OTK8" s="1857"/>
      <c r="OTL8" s="1857"/>
      <c r="OTM8" s="1857"/>
      <c r="OTN8" s="454"/>
      <c r="OTO8" s="1858"/>
      <c r="OTP8" s="449"/>
      <c r="OTQ8" s="449"/>
      <c r="OTR8" s="449"/>
      <c r="OTS8" s="460"/>
      <c r="OTT8" s="460"/>
      <c r="OTU8" s="460"/>
      <c r="OTV8" s="460"/>
      <c r="OTW8" s="460"/>
      <c r="OTX8" s="460"/>
      <c r="OTY8" s="450"/>
      <c r="OTZ8" s="1857"/>
      <c r="OUA8" s="1857"/>
      <c r="OUB8" s="1857"/>
      <c r="OUC8" s="1857"/>
      <c r="OUD8" s="1857"/>
      <c r="OUE8" s="1857"/>
      <c r="OUF8" s="1857"/>
      <c r="OUG8" s="1857"/>
      <c r="OUH8" s="1857"/>
      <c r="OUI8" s="1857"/>
      <c r="OUJ8" s="1857"/>
      <c r="OUK8" s="1857"/>
      <c r="OUL8" s="1857"/>
      <c r="OUM8" s="454"/>
      <c r="OUN8" s="1858"/>
      <c r="OUO8" s="449"/>
      <c r="OUP8" s="449"/>
      <c r="OUQ8" s="449"/>
      <c r="OUR8" s="460"/>
      <c r="OUS8" s="460"/>
      <c r="OUT8" s="460"/>
      <c r="OUU8" s="460"/>
      <c r="OUV8" s="460"/>
      <c r="OUW8" s="460"/>
      <c r="OUX8" s="450"/>
      <c r="OUY8" s="1857"/>
      <c r="OUZ8" s="1857"/>
      <c r="OVA8" s="1857"/>
      <c r="OVB8" s="1857"/>
      <c r="OVC8" s="1857"/>
      <c r="OVD8" s="1857"/>
      <c r="OVE8" s="1857"/>
      <c r="OVF8" s="1857"/>
      <c r="OVG8" s="1857"/>
      <c r="OVH8" s="1857"/>
      <c r="OVI8" s="1857"/>
      <c r="OVJ8" s="1857"/>
      <c r="OVK8" s="1857"/>
      <c r="OVL8" s="454"/>
      <c r="OVM8" s="1858"/>
      <c r="OVN8" s="449"/>
      <c r="OVO8" s="449"/>
      <c r="OVP8" s="449"/>
      <c r="OVQ8" s="460"/>
      <c r="OVR8" s="460"/>
      <c r="OVS8" s="460"/>
      <c r="OVT8" s="460"/>
      <c r="OVU8" s="460"/>
      <c r="OVV8" s="460"/>
      <c r="OVW8" s="450"/>
      <c r="OVX8" s="1857"/>
      <c r="OVY8" s="1857"/>
      <c r="OVZ8" s="1857"/>
      <c r="OWA8" s="1857"/>
      <c r="OWB8" s="1857"/>
      <c r="OWC8" s="1857"/>
      <c r="OWD8" s="1857"/>
      <c r="OWE8" s="1857"/>
      <c r="OWF8" s="1857"/>
      <c r="OWG8" s="1857"/>
      <c r="OWH8" s="1857"/>
      <c r="OWI8" s="1857"/>
      <c r="OWJ8" s="1857"/>
      <c r="OWK8" s="454"/>
      <c r="OWL8" s="1858"/>
      <c r="OWM8" s="449"/>
      <c r="OWN8" s="449"/>
      <c r="OWO8" s="449"/>
      <c r="OWP8" s="460"/>
      <c r="OWQ8" s="460"/>
      <c r="OWR8" s="460"/>
      <c r="OWS8" s="460"/>
      <c r="OWT8" s="460"/>
      <c r="OWU8" s="460"/>
      <c r="OWV8" s="450"/>
      <c r="OWW8" s="1857"/>
      <c r="OWX8" s="1857"/>
      <c r="OWY8" s="1857"/>
      <c r="OWZ8" s="1857"/>
      <c r="OXA8" s="1857"/>
      <c r="OXB8" s="1857"/>
      <c r="OXC8" s="1857"/>
      <c r="OXD8" s="1857"/>
      <c r="OXE8" s="1857"/>
      <c r="OXF8" s="1857"/>
      <c r="OXG8" s="1857"/>
      <c r="OXH8" s="1857"/>
      <c r="OXI8" s="1857"/>
      <c r="OXJ8" s="454"/>
      <c r="OXK8" s="1858"/>
      <c r="OXL8" s="449"/>
      <c r="OXM8" s="449"/>
      <c r="OXN8" s="449"/>
      <c r="OXO8" s="460"/>
      <c r="OXP8" s="460"/>
      <c r="OXQ8" s="460"/>
      <c r="OXR8" s="460"/>
      <c r="OXS8" s="460"/>
      <c r="OXT8" s="460"/>
      <c r="OXU8" s="450"/>
      <c r="OXV8" s="1857"/>
      <c r="OXW8" s="1857"/>
      <c r="OXX8" s="1857"/>
      <c r="OXY8" s="1857"/>
      <c r="OXZ8" s="1857"/>
      <c r="OYA8" s="1857"/>
      <c r="OYB8" s="1857"/>
      <c r="OYC8" s="1857"/>
      <c r="OYD8" s="1857"/>
      <c r="OYE8" s="1857"/>
      <c r="OYF8" s="1857"/>
      <c r="OYG8" s="1857"/>
      <c r="OYH8" s="1857"/>
      <c r="OYI8" s="454"/>
      <c r="OYJ8" s="1858"/>
      <c r="OYK8" s="449"/>
      <c r="OYL8" s="449"/>
      <c r="OYM8" s="449"/>
      <c r="OYN8" s="460"/>
      <c r="OYO8" s="460"/>
      <c r="OYP8" s="460"/>
      <c r="OYQ8" s="460"/>
      <c r="OYR8" s="460"/>
      <c r="OYS8" s="460"/>
      <c r="OYT8" s="450"/>
      <c r="OYU8" s="1857"/>
      <c r="OYV8" s="1857"/>
      <c r="OYW8" s="1857"/>
      <c r="OYX8" s="1857"/>
      <c r="OYY8" s="1857"/>
      <c r="OYZ8" s="1857"/>
      <c r="OZA8" s="1857"/>
      <c r="OZB8" s="1857"/>
      <c r="OZC8" s="1857"/>
      <c r="OZD8" s="1857"/>
      <c r="OZE8" s="1857"/>
      <c r="OZF8" s="1857"/>
      <c r="OZG8" s="1857"/>
      <c r="OZH8" s="454"/>
      <c r="OZI8" s="1858"/>
      <c r="OZJ8" s="449"/>
      <c r="OZK8" s="449"/>
      <c r="OZL8" s="449"/>
      <c r="OZM8" s="460"/>
      <c r="OZN8" s="460"/>
      <c r="OZO8" s="460"/>
      <c r="OZP8" s="460"/>
      <c r="OZQ8" s="460"/>
      <c r="OZR8" s="460"/>
      <c r="OZS8" s="450"/>
      <c r="OZT8" s="1857"/>
      <c r="OZU8" s="1857"/>
      <c r="OZV8" s="1857"/>
      <c r="OZW8" s="1857"/>
      <c r="OZX8" s="1857"/>
      <c r="OZY8" s="1857"/>
      <c r="OZZ8" s="1857"/>
      <c r="PAA8" s="1857"/>
      <c r="PAB8" s="1857"/>
      <c r="PAC8" s="1857"/>
      <c r="PAD8" s="1857"/>
      <c r="PAE8" s="1857"/>
      <c r="PAF8" s="1857"/>
      <c r="PAG8" s="454"/>
      <c r="PAH8" s="1858"/>
      <c r="PAI8" s="449"/>
      <c r="PAJ8" s="449"/>
      <c r="PAK8" s="449"/>
      <c r="PAL8" s="460"/>
      <c r="PAM8" s="460"/>
      <c r="PAN8" s="460"/>
      <c r="PAO8" s="460"/>
      <c r="PAP8" s="460"/>
      <c r="PAQ8" s="460"/>
      <c r="PAR8" s="450"/>
      <c r="PAS8" s="1857"/>
      <c r="PAT8" s="1857"/>
      <c r="PAU8" s="1857"/>
      <c r="PAV8" s="1857"/>
      <c r="PAW8" s="1857"/>
      <c r="PAX8" s="1857"/>
      <c r="PAY8" s="1857"/>
      <c r="PAZ8" s="1857"/>
      <c r="PBA8" s="1857"/>
      <c r="PBB8" s="1857"/>
      <c r="PBC8" s="1857"/>
      <c r="PBD8" s="1857"/>
      <c r="PBE8" s="1857"/>
      <c r="PBF8" s="454"/>
      <c r="PBG8" s="1858"/>
      <c r="PBH8" s="449"/>
      <c r="PBI8" s="449"/>
      <c r="PBJ8" s="449"/>
      <c r="PBK8" s="460"/>
      <c r="PBL8" s="460"/>
      <c r="PBM8" s="460"/>
      <c r="PBN8" s="460"/>
      <c r="PBO8" s="460"/>
      <c r="PBP8" s="460"/>
      <c r="PBQ8" s="450"/>
      <c r="PBR8" s="1857"/>
      <c r="PBS8" s="1857"/>
      <c r="PBT8" s="1857"/>
      <c r="PBU8" s="1857"/>
      <c r="PBV8" s="1857"/>
      <c r="PBW8" s="1857"/>
      <c r="PBX8" s="1857"/>
      <c r="PBY8" s="1857"/>
      <c r="PBZ8" s="1857"/>
      <c r="PCA8" s="1857"/>
      <c r="PCB8" s="1857"/>
      <c r="PCC8" s="1857"/>
      <c r="PCD8" s="1857"/>
      <c r="PCE8" s="454"/>
      <c r="PCF8" s="1858"/>
      <c r="PCG8" s="449"/>
      <c r="PCH8" s="449"/>
      <c r="PCI8" s="449"/>
      <c r="PCJ8" s="460"/>
      <c r="PCK8" s="460"/>
      <c r="PCL8" s="460"/>
      <c r="PCM8" s="460"/>
      <c r="PCN8" s="460"/>
      <c r="PCO8" s="460"/>
      <c r="PCP8" s="450"/>
      <c r="PCQ8" s="1857"/>
      <c r="PCR8" s="1857"/>
      <c r="PCS8" s="1857"/>
      <c r="PCT8" s="1857"/>
      <c r="PCU8" s="1857"/>
      <c r="PCV8" s="1857"/>
      <c r="PCW8" s="1857"/>
      <c r="PCX8" s="1857"/>
      <c r="PCY8" s="1857"/>
      <c r="PCZ8" s="1857"/>
      <c r="PDA8" s="1857"/>
      <c r="PDB8" s="1857"/>
      <c r="PDC8" s="1857"/>
      <c r="PDD8" s="454"/>
      <c r="PDE8" s="1858"/>
      <c r="PDF8" s="449"/>
      <c r="PDG8" s="449"/>
      <c r="PDH8" s="449"/>
      <c r="PDI8" s="460"/>
      <c r="PDJ8" s="460"/>
      <c r="PDK8" s="460"/>
      <c r="PDL8" s="460"/>
      <c r="PDM8" s="460"/>
      <c r="PDN8" s="460"/>
      <c r="PDO8" s="450"/>
      <c r="PDP8" s="1857"/>
      <c r="PDQ8" s="1857"/>
      <c r="PDR8" s="1857"/>
      <c r="PDS8" s="1857"/>
      <c r="PDT8" s="1857"/>
      <c r="PDU8" s="1857"/>
      <c r="PDV8" s="1857"/>
      <c r="PDW8" s="1857"/>
      <c r="PDX8" s="1857"/>
      <c r="PDY8" s="1857"/>
      <c r="PDZ8" s="1857"/>
      <c r="PEA8" s="1857"/>
      <c r="PEB8" s="1857"/>
      <c r="PEC8" s="454"/>
      <c r="PED8" s="1858"/>
      <c r="PEE8" s="449"/>
      <c r="PEF8" s="449"/>
      <c r="PEG8" s="449"/>
      <c r="PEH8" s="460"/>
      <c r="PEI8" s="460"/>
      <c r="PEJ8" s="460"/>
      <c r="PEK8" s="460"/>
      <c r="PEL8" s="460"/>
      <c r="PEM8" s="460"/>
      <c r="PEN8" s="450"/>
      <c r="PEO8" s="1857"/>
      <c r="PEP8" s="1857"/>
      <c r="PEQ8" s="1857"/>
      <c r="PER8" s="1857"/>
      <c r="PES8" s="1857"/>
      <c r="PET8" s="1857"/>
      <c r="PEU8" s="1857"/>
      <c r="PEV8" s="1857"/>
      <c r="PEW8" s="1857"/>
      <c r="PEX8" s="1857"/>
      <c r="PEY8" s="1857"/>
      <c r="PEZ8" s="1857"/>
      <c r="PFA8" s="1857"/>
      <c r="PFB8" s="454"/>
      <c r="PFC8" s="1858"/>
      <c r="PFD8" s="449"/>
      <c r="PFE8" s="449"/>
      <c r="PFF8" s="449"/>
      <c r="PFG8" s="460"/>
      <c r="PFH8" s="460"/>
      <c r="PFI8" s="460"/>
      <c r="PFJ8" s="460"/>
      <c r="PFK8" s="460"/>
      <c r="PFL8" s="460"/>
      <c r="PFM8" s="450"/>
      <c r="PFN8" s="1857"/>
      <c r="PFO8" s="1857"/>
      <c r="PFP8" s="1857"/>
      <c r="PFQ8" s="1857"/>
      <c r="PFR8" s="1857"/>
      <c r="PFS8" s="1857"/>
      <c r="PFT8" s="1857"/>
      <c r="PFU8" s="1857"/>
      <c r="PFV8" s="1857"/>
      <c r="PFW8" s="1857"/>
      <c r="PFX8" s="1857"/>
      <c r="PFY8" s="1857"/>
      <c r="PFZ8" s="1857"/>
      <c r="PGA8" s="454"/>
      <c r="PGB8" s="1858"/>
      <c r="PGC8" s="449"/>
      <c r="PGD8" s="449"/>
      <c r="PGE8" s="449"/>
      <c r="PGF8" s="460"/>
      <c r="PGG8" s="460"/>
      <c r="PGH8" s="460"/>
      <c r="PGI8" s="460"/>
      <c r="PGJ8" s="460"/>
      <c r="PGK8" s="460"/>
      <c r="PGL8" s="450"/>
      <c r="PGM8" s="1857"/>
      <c r="PGN8" s="1857"/>
      <c r="PGO8" s="1857"/>
      <c r="PGP8" s="1857"/>
      <c r="PGQ8" s="1857"/>
      <c r="PGR8" s="1857"/>
      <c r="PGS8" s="1857"/>
      <c r="PGT8" s="1857"/>
      <c r="PGU8" s="1857"/>
      <c r="PGV8" s="1857"/>
      <c r="PGW8" s="1857"/>
      <c r="PGX8" s="1857"/>
      <c r="PGY8" s="1857"/>
      <c r="PGZ8" s="454"/>
      <c r="PHA8" s="1858"/>
      <c r="PHB8" s="449"/>
      <c r="PHC8" s="449"/>
      <c r="PHD8" s="449"/>
      <c r="PHE8" s="460"/>
      <c r="PHF8" s="460"/>
      <c r="PHG8" s="460"/>
      <c r="PHH8" s="460"/>
      <c r="PHI8" s="460"/>
      <c r="PHJ8" s="460"/>
      <c r="PHK8" s="450"/>
      <c r="PHL8" s="1857"/>
      <c r="PHM8" s="1857"/>
      <c r="PHN8" s="1857"/>
      <c r="PHO8" s="1857"/>
      <c r="PHP8" s="1857"/>
      <c r="PHQ8" s="1857"/>
      <c r="PHR8" s="1857"/>
      <c r="PHS8" s="1857"/>
      <c r="PHT8" s="1857"/>
      <c r="PHU8" s="1857"/>
      <c r="PHV8" s="1857"/>
      <c r="PHW8" s="1857"/>
      <c r="PHX8" s="1857"/>
      <c r="PHY8" s="454"/>
      <c r="PHZ8" s="1858"/>
      <c r="PIA8" s="449"/>
      <c r="PIB8" s="449"/>
      <c r="PIC8" s="449"/>
      <c r="PID8" s="460"/>
      <c r="PIE8" s="460"/>
      <c r="PIF8" s="460"/>
      <c r="PIG8" s="460"/>
      <c r="PIH8" s="460"/>
      <c r="PII8" s="460"/>
      <c r="PIJ8" s="450"/>
      <c r="PIK8" s="1857"/>
      <c r="PIL8" s="1857"/>
      <c r="PIM8" s="1857"/>
      <c r="PIN8" s="1857"/>
      <c r="PIO8" s="1857"/>
      <c r="PIP8" s="1857"/>
      <c r="PIQ8" s="1857"/>
      <c r="PIR8" s="1857"/>
      <c r="PIS8" s="1857"/>
      <c r="PIT8" s="1857"/>
      <c r="PIU8" s="1857"/>
      <c r="PIV8" s="1857"/>
      <c r="PIW8" s="1857"/>
      <c r="PIX8" s="454"/>
      <c r="PIY8" s="1858"/>
      <c r="PIZ8" s="449"/>
      <c r="PJA8" s="449"/>
      <c r="PJB8" s="449"/>
      <c r="PJC8" s="460"/>
      <c r="PJD8" s="460"/>
      <c r="PJE8" s="460"/>
      <c r="PJF8" s="460"/>
      <c r="PJG8" s="460"/>
      <c r="PJH8" s="460"/>
      <c r="PJI8" s="450"/>
      <c r="PJJ8" s="1857"/>
      <c r="PJK8" s="1857"/>
      <c r="PJL8" s="1857"/>
      <c r="PJM8" s="1857"/>
      <c r="PJN8" s="1857"/>
      <c r="PJO8" s="1857"/>
      <c r="PJP8" s="1857"/>
      <c r="PJQ8" s="1857"/>
      <c r="PJR8" s="1857"/>
      <c r="PJS8" s="1857"/>
      <c r="PJT8" s="1857"/>
      <c r="PJU8" s="1857"/>
      <c r="PJV8" s="1857"/>
      <c r="PJW8" s="454"/>
      <c r="PJX8" s="1858"/>
      <c r="PJY8" s="449"/>
      <c r="PJZ8" s="449"/>
      <c r="PKA8" s="449"/>
      <c r="PKB8" s="460"/>
      <c r="PKC8" s="460"/>
      <c r="PKD8" s="460"/>
      <c r="PKE8" s="460"/>
      <c r="PKF8" s="460"/>
      <c r="PKG8" s="460"/>
      <c r="PKH8" s="450"/>
      <c r="PKI8" s="1857"/>
      <c r="PKJ8" s="1857"/>
      <c r="PKK8" s="1857"/>
      <c r="PKL8" s="1857"/>
      <c r="PKM8" s="1857"/>
      <c r="PKN8" s="1857"/>
      <c r="PKO8" s="1857"/>
      <c r="PKP8" s="1857"/>
      <c r="PKQ8" s="1857"/>
      <c r="PKR8" s="1857"/>
      <c r="PKS8" s="1857"/>
      <c r="PKT8" s="1857"/>
      <c r="PKU8" s="1857"/>
      <c r="PKV8" s="454"/>
      <c r="PKW8" s="1858"/>
      <c r="PKX8" s="449"/>
      <c r="PKY8" s="449"/>
      <c r="PKZ8" s="449"/>
      <c r="PLA8" s="460"/>
      <c r="PLB8" s="460"/>
      <c r="PLC8" s="460"/>
      <c r="PLD8" s="460"/>
      <c r="PLE8" s="460"/>
      <c r="PLF8" s="460"/>
      <c r="PLG8" s="450"/>
      <c r="PLH8" s="1857"/>
      <c r="PLI8" s="1857"/>
      <c r="PLJ8" s="1857"/>
      <c r="PLK8" s="1857"/>
      <c r="PLL8" s="1857"/>
      <c r="PLM8" s="1857"/>
      <c r="PLN8" s="1857"/>
      <c r="PLO8" s="1857"/>
      <c r="PLP8" s="1857"/>
      <c r="PLQ8" s="1857"/>
      <c r="PLR8" s="1857"/>
      <c r="PLS8" s="1857"/>
      <c r="PLT8" s="1857"/>
      <c r="PLU8" s="454"/>
      <c r="PLV8" s="1858"/>
      <c r="PLW8" s="449"/>
      <c r="PLX8" s="449"/>
      <c r="PLY8" s="449"/>
      <c r="PLZ8" s="460"/>
      <c r="PMA8" s="460"/>
      <c r="PMB8" s="460"/>
      <c r="PMC8" s="460"/>
      <c r="PMD8" s="460"/>
      <c r="PME8" s="460"/>
      <c r="PMF8" s="450"/>
      <c r="PMG8" s="1857"/>
      <c r="PMH8" s="1857"/>
      <c r="PMI8" s="1857"/>
      <c r="PMJ8" s="1857"/>
      <c r="PMK8" s="1857"/>
      <c r="PML8" s="1857"/>
      <c r="PMM8" s="1857"/>
      <c r="PMN8" s="1857"/>
      <c r="PMO8" s="1857"/>
      <c r="PMP8" s="1857"/>
      <c r="PMQ8" s="1857"/>
      <c r="PMR8" s="1857"/>
      <c r="PMS8" s="1857"/>
      <c r="PMT8" s="454"/>
      <c r="PMU8" s="1858"/>
      <c r="PMV8" s="449"/>
      <c r="PMW8" s="449"/>
      <c r="PMX8" s="449"/>
      <c r="PMY8" s="460"/>
      <c r="PMZ8" s="460"/>
      <c r="PNA8" s="460"/>
      <c r="PNB8" s="460"/>
      <c r="PNC8" s="460"/>
      <c r="PND8" s="460"/>
      <c r="PNE8" s="450"/>
      <c r="PNF8" s="1857"/>
      <c r="PNG8" s="1857"/>
      <c r="PNH8" s="1857"/>
      <c r="PNI8" s="1857"/>
      <c r="PNJ8" s="1857"/>
      <c r="PNK8" s="1857"/>
      <c r="PNL8" s="1857"/>
      <c r="PNM8" s="1857"/>
      <c r="PNN8" s="1857"/>
      <c r="PNO8" s="1857"/>
      <c r="PNP8" s="1857"/>
      <c r="PNQ8" s="1857"/>
      <c r="PNR8" s="1857"/>
      <c r="PNS8" s="454"/>
      <c r="PNT8" s="1858"/>
      <c r="PNU8" s="449"/>
      <c r="PNV8" s="449"/>
      <c r="PNW8" s="449"/>
      <c r="PNX8" s="460"/>
      <c r="PNY8" s="460"/>
      <c r="PNZ8" s="460"/>
      <c r="POA8" s="460"/>
      <c r="POB8" s="460"/>
      <c r="POC8" s="460"/>
      <c r="POD8" s="450"/>
      <c r="POE8" s="1857"/>
      <c r="POF8" s="1857"/>
      <c r="POG8" s="1857"/>
      <c r="POH8" s="1857"/>
      <c r="POI8" s="1857"/>
      <c r="POJ8" s="1857"/>
      <c r="POK8" s="1857"/>
      <c r="POL8" s="1857"/>
      <c r="POM8" s="1857"/>
      <c r="PON8" s="1857"/>
      <c r="POO8" s="1857"/>
      <c r="POP8" s="1857"/>
      <c r="POQ8" s="1857"/>
      <c r="POR8" s="454"/>
      <c r="POS8" s="1858"/>
      <c r="POT8" s="449"/>
      <c r="POU8" s="449"/>
      <c r="POV8" s="449"/>
      <c r="POW8" s="460"/>
      <c r="POX8" s="460"/>
      <c r="POY8" s="460"/>
      <c r="POZ8" s="460"/>
      <c r="PPA8" s="460"/>
      <c r="PPB8" s="460"/>
      <c r="PPC8" s="450"/>
      <c r="PPD8" s="1857"/>
      <c r="PPE8" s="1857"/>
      <c r="PPF8" s="1857"/>
      <c r="PPG8" s="1857"/>
      <c r="PPH8" s="1857"/>
      <c r="PPI8" s="1857"/>
      <c r="PPJ8" s="1857"/>
      <c r="PPK8" s="1857"/>
      <c r="PPL8" s="1857"/>
      <c r="PPM8" s="1857"/>
      <c r="PPN8" s="1857"/>
      <c r="PPO8" s="1857"/>
      <c r="PPP8" s="1857"/>
      <c r="PPQ8" s="454"/>
      <c r="PPR8" s="1858"/>
      <c r="PPS8" s="449"/>
      <c r="PPT8" s="449"/>
      <c r="PPU8" s="449"/>
      <c r="PPV8" s="460"/>
      <c r="PPW8" s="460"/>
      <c r="PPX8" s="460"/>
      <c r="PPY8" s="460"/>
      <c r="PPZ8" s="460"/>
      <c r="PQA8" s="460"/>
      <c r="PQB8" s="450"/>
      <c r="PQC8" s="1857"/>
      <c r="PQD8" s="1857"/>
      <c r="PQE8" s="1857"/>
      <c r="PQF8" s="1857"/>
      <c r="PQG8" s="1857"/>
      <c r="PQH8" s="1857"/>
      <c r="PQI8" s="1857"/>
      <c r="PQJ8" s="1857"/>
      <c r="PQK8" s="1857"/>
      <c r="PQL8" s="1857"/>
      <c r="PQM8" s="1857"/>
      <c r="PQN8" s="1857"/>
      <c r="PQO8" s="1857"/>
      <c r="PQP8" s="454"/>
      <c r="PQQ8" s="1858"/>
      <c r="PQR8" s="449"/>
      <c r="PQS8" s="449"/>
      <c r="PQT8" s="449"/>
      <c r="PQU8" s="460"/>
      <c r="PQV8" s="460"/>
      <c r="PQW8" s="460"/>
      <c r="PQX8" s="460"/>
      <c r="PQY8" s="460"/>
      <c r="PQZ8" s="460"/>
      <c r="PRA8" s="450"/>
      <c r="PRB8" s="1857"/>
      <c r="PRC8" s="1857"/>
      <c r="PRD8" s="1857"/>
      <c r="PRE8" s="1857"/>
      <c r="PRF8" s="1857"/>
      <c r="PRG8" s="1857"/>
      <c r="PRH8" s="1857"/>
      <c r="PRI8" s="1857"/>
      <c r="PRJ8" s="1857"/>
      <c r="PRK8" s="1857"/>
      <c r="PRL8" s="1857"/>
      <c r="PRM8" s="1857"/>
      <c r="PRN8" s="1857"/>
      <c r="PRO8" s="454"/>
      <c r="PRP8" s="1858"/>
      <c r="PRQ8" s="449"/>
      <c r="PRR8" s="449"/>
      <c r="PRS8" s="449"/>
      <c r="PRT8" s="460"/>
      <c r="PRU8" s="460"/>
      <c r="PRV8" s="460"/>
      <c r="PRW8" s="460"/>
      <c r="PRX8" s="460"/>
      <c r="PRY8" s="460"/>
      <c r="PRZ8" s="450"/>
      <c r="PSA8" s="1857"/>
      <c r="PSB8" s="1857"/>
      <c r="PSC8" s="1857"/>
      <c r="PSD8" s="1857"/>
      <c r="PSE8" s="1857"/>
      <c r="PSF8" s="1857"/>
      <c r="PSG8" s="1857"/>
      <c r="PSH8" s="1857"/>
      <c r="PSI8" s="1857"/>
      <c r="PSJ8" s="1857"/>
      <c r="PSK8" s="1857"/>
      <c r="PSL8" s="1857"/>
      <c r="PSM8" s="1857"/>
      <c r="PSN8" s="454"/>
      <c r="PSO8" s="1858"/>
      <c r="PSP8" s="449"/>
      <c r="PSQ8" s="449"/>
      <c r="PSR8" s="449"/>
      <c r="PSS8" s="460"/>
      <c r="PST8" s="460"/>
      <c r="PSU8" s="460"/>
      <c r="PSV8" s="460"/>
      <c r="PSW8" s="460"/>
      <c r="PSX8" s="460"/>
      <c r="PSY8" s="450"/>
      <c r="PSZ8" s="1857"/>
      <c r="PTA8" s="1857"/>
      <c r="PTB8" s="1857"/>
      <c r="PTC8" s="1857"/>
      <c r="PTD8" s="1857"/>
      <c r="PTE8" s="1857"/>
      <c r="PTF8" s="1857"/>
      <c r="PTG8" s="1857"/>
      <c r="PTH8" s="1857"/>
      <c r="PTI8" s="1857"/>
      <c r="PTJ8" s="1857"/>
      <c r="PTK8" s="1857"/>
      <c r="PTL8" s="1857"/>
      <c r="PTM8" s="454"/>
      <c r="PTN8" s="1858"/>
      <c r="PTO8" s="449"/>
      <c r="PTP8" s="449"/>
      <c r="PTQ8" s="449"/>
      <c r="PTR8" s="460"/>
      <c r="PTS8" s="460"/>
      <c r="PTT8" s="460"/>
      <c r="PTU8" s="460"/>
      <c r="PTV8" s="460"/>
      <c r="PTW8" s="460"/>
      <c r="PTX8" s="450"/>
      <c r="PTY8" s="1857"/>
      <c r="PTZ8" s="1857"/>
      <c r="PUA8" s="1857"/>
      <c r="PUB8" s="1857"/>
      <c r="PUC8" s="1857"/>
      <c r="PUD8" s="1857"/>
      <c r="PUE8" s="1857"/>
      <c r="PUF8" s="1857"/>
      <c r="PUG8" s="1857"/>
      <c r="PUH8" s="1857"/>
      <c r="PUI8" s="1857"/>
      <c r="PUJ8" s="1857"/>
      <c r="PUK8" s="1857"/>
      <c r="PUL8" s="454"/>
      <c r="PUM8" s="1858"/>
      <c r="PUN8" s="449"/>
      <c r="PUO8" s="449"/>
      <c r="PUP8" s="449"/>
      <c r="PUQ8" s="460"/>
      <c r="PUR8" s="460"/>
      <c r="PUS8" s="460"/>
      <c r="PUT8" s="460"/>
      <c r="PUU8" s="460"/>
      <c r="PUV8" s="460"/>
      <c r="PUW8" s="450"/>
      <c r="PUX8" s="1857"/>
      <c r="PUY8" s="1857"/>
      <c r="PUZ8" s="1857"/>
      <c r="PVA8" s="1857"/>
      <c r="PVB8" s="1857"/>
      <c r="PVC8" s="1857"/>
      <c r="PVD8" s="1857"/>
      <c r="PVE8" s="1857"/>
      <c r="PVF8" s="1857"/>
      <c r="PVG8" s="1857"/>
      <c r="PVH8" s="1857"/>
      <c r="PVI8" s="1857"/>
      <c r="PVJ8" s="1857"/>
      <c r="PVK8" s="454"/>
      <c r="PVL8" s="1858"/>
      <c r="PVM8" s="449"/>
      <c r="PVN8" s="449"/>
      <c r="PVO8" s="449"/>
      <c r="PVP8" s="460"/>
      <c r="PVQ8" s="460"/>
      <c r="PVR8" s="460"/>
      <c r="PVS8" s="460"/>
      <c r="PVT8" s="460"/>
      <c r="PVU8" s="460"/>
      <c r="PVV8" s="450"/>
      <c r="PVW8" s="1857"/>
      <c r="PVX8" s="1857"/>
      <c r="PVY8" s="1857"/>
      <c r="PVZ8" s="1857"/>
      <c r="PWA8" s="1857"/>
      <c r="PWB8" s="1857"/>
      <c r="PWC8" s="1857"/>
      <c r="PWD8" s="1857"/>
      <c r="PWE8" s="1857"/>
      <c r="PWF8" s="1857"/>
      <c r="PWG8" s="1857"/>
      <c r="PWH8" s="1857"/>
      <c r="PWI8" s="1857"/>
      <c r="PWJ8" s="454"/>
      <c r="PWK8" s="1858"/>
      <c r="PWL8" s="449"/>
      <c r="PWM8" s="449"/>
      <c r="PWN8" s="449"/>
      <c r="PWO8" s="460"/>
      <c r="PWP8" s="460"/>
      <c r="PWQ8" s="460"/>
      <c r="PWR8" s="460"/>
      <c r="PWS8" s="460"/>
      <c r="PWT8" s="460"/>
      <c r="PWU8" s="450"/>
      <c r="PWV8" s="1857"/>
      <c r="PWW8" s="1857"/>
      <c r="PWX8" s="1857"/>
      <c r="PWY8" s="1857"/>
      <c r="PWZ8" s="1857"/>
      <c r="PXA8" s="1857"/>
      <c r="PXB8" s="1857"/>
      <c r="PXC8" s="1857"/>
      <c r="PXD8" s="1857"/>
      <c r="PXE8" s="1857"/>
      <c r="PXF8" s="1857"/>
      <c r="PXG8" s="1857"/>
      <c r="PXH8" s="1857"/>
      <c r="PXI8" s="454"/>
      <c r="PXJ8" s="1858"/>
      <c r="PXK8" s="449"/>
      <c r="PXL8" s="449"/>
      <c r="PXM8" s="449"/>
      <c r="PXN8" s="460"/>
      <c r="PXO8" s="460"/>
      <c r="PXP8" s="460"/>
      <c r="PXQ8" s="460"/>
      <c r="PXR8" s="460"/>
      <c r="PXS8" s="460"/>
      <c r="PXT8" s="450"/>
      <c r="PXU8" s="1857"/>
      <c r="PXV8" s="1857"/>
      <c r="PXW8" s="1857"/>
      <c r="PXX8" s="1857"/>
      <c r="PXY8" s="1857"/>
      <c r="PXZ8" s="1857"/>
      <c r="PYA8" s="1857"/>
      <c r="PYB8" s="1857"/>
      <c r="PYC8" s="1857"/>
      <c r="PYD8" s="1857"/>
      <c r="PYE8" s="1857"/>
      <c r="PYF8" s="1857"/>
      <c r="PYG8" s="1857"/>
      <c r="PYH8" s="454"/>
      <c r="PYI8" s="1858"/>
      <c r="PYJ8" s="449"/>
      <c r="PYK8" s="449"/>
      <c r="PYL8" s="449"/>
      <c r="PYM8" s="460"/>
      <c r="PYN8" s="460"/>
      <c r="PYO8" s="460"/>
      <c r="PYP8" s="460"/>
      <c r="PYQ8" s="460"/>
      <c r="PYR8" s="460"/>
      <c r="PYS8" s="450"/>
      <c r="PYT8" s="1857"/>
      <c r="PYU8" s="1857"/>
      <c r="PYV8" s="1857"/>
      <c r="PYW8" s="1857"/>
      <c r="PYX8" s="1857"/>
      <c r="PYY8" s="1857"/>
      <c r="PYZ8" s="1857"/>
      <c r="PZA8" s="1857"/>
      <c r="PZB8" s="1857"/>
      <c r="PZC8" s="1857"/>
      <c r="PZD8" s="1857"/>
      <c r="PZE8" s="1857"/>
      <c r="PZF8" s="1857"/>
      <c r="PZG8" s="454"/>
      <c r="PZH8" s="1858"/>
      <c r="PZI8" s="449"/>
      <c r="PZJ8" s="449"/>
      <c r="PZK8" s="449"/>
      <c r="PZL8" s="460"/>
      <c r="PZM8" s="460"/>
      <c r="PZN8" s="460"/>
      <c r="PZO8" s="460"/>
      <c r="PZP8" s="460"/>
      <c r="PZQ8" s="460"/>
      <c r="PZR8" s="450"/>
      <c r="PZS8" s="1857"/>
      <c r="PZT8" s="1857"/>
      <c r="PZU8" s="1857"/>
      <c r="PZV8" s="1857"/>
      <c r="PZW8" s="1857"/>
      <c r="PZX8" s="1857"/>
      <c r="PZY8" s="1857"/>
      <c r="PZZ8" s="1857"/>
      <c r="QAA8" s="1857"/>
      <c r="QAB8" s="1857"/>
      <c r="QAC8" s="1857"/>
      <c r="QAD8" s="1857"/>
      <c r="QAE8" s="1857"/>
      <c r="QAF8" s="454"/>
      <c r="QAG8" s="1858"/>
      <c r="QAH8" s="449"/>
      <c r="QAI8" s="449"/>
      <c r="QAJ8" s="449"/>
      <c r="QAK8" s="460"/>
      <c r="QAL8" s="460"/>
      <c r="QAM8" s="460"/>
      <c r="QAN8" s="460"/>
      <c r="QAO8" s="460"/>
      <c r="QAP8" s="460"/>
      <c r="QAQ8" s="450"/>
      <c r="QAR8" s="1857"/>
      <c r="QAS8" s="1857"/>
      <c r="QAT8" s="1857"/>
      <c r="QAU8" s="1857"/>
      <c r="QAV8" s="1857"/>
      <c r="QAW8" s="1857"/>
      <c r="QAX8" s="1857"/>
      <c r="QAY8" s="1857"/>
      <c r="QAZ8" s="1857"/>
      <c r="QBA8" s="1857"/>
      <c r="QBB8" s="1857"/>
      <c r="QBC8" s="1857"/>
      <c r="QBD8" s="1857"/>
      <c r="QBE8" s="454"/>
      <c r="QBF8" s="1858"/>
      <c r="QBG8" s="449"/>
      <c r="QBH8" s="449"/>
      <c r="QBI8" s="449"/>
      <c r="QBJ8" s="460"/>
      <c r="QBK8" s="460"/>
      <c r="QBL8" s="460"/>
      <c r="QBM8" s="460"/>
      <c r="QBN8" s="460"/>
      <c r="QBO8" s="460"/>
      <c r="QBP8" s="450"/>
      <c r="QBQ8" s="1857"/>
      <c r="QBR8" s="1857"/>
      <c r="QBS8" s="1857"/>
      <c r="QBT8" s="1857"/>
      <c r="QBU8" s="1857"/>
      <c r="QBV8" s="1857"/>
      <c r="QBW8" s="1857"/>
      <c r="QBX8" s="1857"/>
      <c r="QBY8" s="1857"/>
      <c r="QBZ8" s="1857"/>
      <c r="QCA8" s="1857"/>
      <c r="QCB8" s="1857"/>
      <c r="QCC8" s="1857"/>
      <c r="QCD8" s="454"/>
      <c r="QCE8" s="1858"/>
      <c r="QCF8" s="449"/>
      <c r="QCG8" s="449"/>
      <c r="QCH8" s="449"/>
      <c r="QCI8" s="460"/>
      <c r="QCJ8" s="460"/>
      <c r="QCK8" s="460"/>
      <c r="QCL8" s="460"/>
      <c r="QCM8" s="460"/>
      <c r="QCN8" s="460"/>
      <c r="QCO8" s="450"/>
      <c r="QCP8" s="1857"/>
      <c r="QCQ8" s="1857"/>
      <c r="QCR8" s="1857"/>
      <c r="QCS8" s="1857"/>
      <c r="QCT8" s="1857"/>
      <c r="QCU8" s="1857"/>
      <c r="QCV8" s="1857"/>
      <c r="QCW8" s="1857"/>
      <c r="QCX8" s="1857"/>
      <c r="QCY8" s="1857"/>
      <c r="QCZ8" s="1857"/>
      <c r="QDA8" s="1857"/>
      <c r="QDB8" s="1857"/>
      <c r="QDC8" s="454"/>
      <c r="QDD8" s="1858"/>
      <c r="QDE8" s="449"/>
      <c r="QDF8" s="449"/>
      <c r="QDG8" s="449"/>
      <c r="QDH8" s="460"/>
      <c r="QDI8" s="460"/>
      <c r="QDJ8" s="460"/>
      <c r="QDK8" s="460"/>
      <c r="QDL8" s="460"/>
      <c r="QDM8" s="460"/>
      <c r="QDN8" s="450"/>
      <c r="QDO8" s="1857"/>
      <c r="QDP8" s="1857"/>
      <c r="QDQ8" s="1857"/>
      <c r="QDR8" s="1857"/>
      <c r="QDS8" s="1857"/>
      <c r="QDT8" s="1857"/>
      <c r="QDU8" s="1857"/>
      <c r="QDV8" s="1857"/>
      <c r="QDW8" s="1857"/>
      <c r="QDX8" s="1857"/>
      <c r="QDY8" s="1857"/>
      <c r="QDZ8" s="1857"/>
      <c r="QEA8" s="1857"/>
      <c r="QEB8" s="454"/>
      <c r="QEC8" s="1858"/>
      <c r="QED8" s="449"/>
      <c r="QEE8" s="449"/>
      <c r="QEF8" s="449"/>
      <c r="QEG8" s="460"/>
      <c r="QEH8" s="460"/>
      <c r="QEI8" s="460"/>
      <c r="QEJ8" s="460"/>
      <c r="QEK8" s="460"/>
      <c r="QEL8" s="460"/>
      <c r="QEM8" s="450"/>
      <c r="QEN8" s="1857"/>
      <c r="QEO8" s="1857"/>
      <c r="QEP8" s="1857"/>
      <c r="QEQ8" s="1857"/>
      <c r="QER8" s="1857"/>
      <c r="QES8" s="1857"/>
      <c r="QET8" s="1857"/>
      <c r="QEU8" s="1857"/>
      <c r="QEV8" s="1857"/>
      <c r="QEW8" s="1857"/>
      <c r="QEX8" s="1857"/>
      <c r="QEY8" s="1857"/>
      <c r="QEZ8" s="1857"/>
      <c r="QFA8" s="454"/>
      <c r="QFB8" s="1858"/>
      <c r="QFC8" s="449"/>
      <c r="QFD8" s="449"/>
      <c r="QFE8" s="449"/>
      <c r="QFF8" s="460"/>
      <c r="QFG8" s="460"/>
      <c r="QFH8" s="460"/>
      <c r="QFI8" s="460"/>
      <c r="QFJ8" s="460"/>
      <c r="QFK8" s="460"/>
      <c r="QFL8" s="450"/>
      <c r="QFM8" s="1857"/>
      <c r="QFN8" s="1857"/>
      <c r="QFO8" s="1857"/>
      <c r="QFP8" s="1857"/>
      <c r="QFQ8" s="1857"/>
      <c r="QFR8" s="1857"/>
      <c r="QFS8" s="1857"/>
      <c r="QFT8" s="1857"/>
      <c r="QFU8" s="1857"/>
      <c r="QFV8" s="1857"/>
      <c r="QFW8" s="1857"/>
      <c r="QFX8" s="1857"/>
      <c r="QFY8" s="1857"/>
      <c r="QFZ8" s="454"/>
      <c r="QGA8" s="1858"/>
      <c r="QGB8" s="449"/>
      <c r="QGC8" s="449"/>
      <c r="QGD8" s="449"/>
      <c r="QGE8" s="460"/>
      <c r="QGF8" s="460"/>
      <c r="QGG8" s="460"/>
      <c r="QGH8" s="460"/>
      <c r="QGI8" s="460"/>
      <c r="QGJ8" s="460"/>
      <c r="QGK8" s="450"/>
      <c r="QGL8" s="1857"/>
      <c r="QGM8" s="1857"/>
      <c r="QGN8" s="1857"/>
      <c r="QGO8" s="1857"/>
      <c r="QGP8" s="1857"/>
      <c r="QGQ8" s="1857"/>
      <c r="QGR8" s="1857"/>
      <c r="QGS8" s="1857"/>
      <c r="QGT8" s="1857"/>
      <c r="QGU8" s="1857"/>
      <c r="QGV8" s="1857"/>
      <c r="QGW8" s="1857"/>
      <c r="QGX8" s="1857"/>
      <c r="QGY8" s="454"/>
      <c r="QGZ8" s="1858"/>
      <c r="QHA8" s="449"/>
      <c r="QHB8" s="449"/>
      <c r="QHC8" s="449"/>
      <c r="QHD8" s="460"/>
      <c r="QHE8" s="460"/>
      <c r="QHF8" s="460"/>
      <c r="QHG8" s="460"/>
      <c r="QHH8" s="460"/>
      <c r="QHI8" s="460"/>
      <c r="QHJ8" s="450"/>
      <c r="QHK8" s="1857"/>
      <c r="QHL8" s="1857"/>
      <c r="QHM8" s="1857"/>
      <c r="QHN8" s="1857"/>
      <c r="QHO8" s="1857"/>
      <c r="QHP8" s="1857"/>
      <c r="QHQ8" s="1857"/>
      <c r="QHR8" s="1857"/>
      <c r="QHS8" s="1857"/>
      <c r="QHT8" s="1857"/>
      <c r="QHU8" s="1857"/>
      <c r="QHV8" s="1857"/>
      <c r="QHW8" s="1857"/>
      <c r="QHX8" s="454"/>
      <c r="QHY8" s="1858"/>
      <c r="QHZ8" s="449"/>
      <c r="QIA8" s="449"/>
      <c r="QIB8" s="449"/>
      <c r="QIC8" s="460"/>
      <c r="QID8" s="460"/>
      <c r="QIE8" s="460"/>
      <c r="QIF8" s="460"/>
      <c r="QIG8" s="460"/>
      <c r="QIH8" s="460"/>
      <c r="QII8" s="450"/>
      <c r="QIJ8" s="1857"/>
      <c r="QIK8" s="1857"/>
      <c r="QIL8" s="1857"/>
      <c r="QIM8" s="1857"/>
      <c r="QIN8" s="1857"/>
      <c r="QIO8" s="1857"/>
      <c r="QIP8" s="1857"/>
      <c r="QIQ8" s="1857"/>
      <c r="QIR8" s="1857"/>
      <c r="QIS8" s="1857"/>
      <c r="QIT8" s="1857"/>
      <c r="QIU8" s="1857"/>
      <c r="QIV8" s="1857"/>
      <c r="QIW8" s="454"/>
      <c r="QIX8" s="1858"/>
      <c r="QIY8" s="449"/>
      <c r="QIZ8" s="449"/>
      <c r="QJA8" s="449"/>
      <c r="QJB8" s="460"/>
      <c r="QJC8" s="460"/>
      <c r="QJD8" s="460"/>
      <c r="QJE8" s="460"/>
      <c r="QJF8" s="460"/>
      <c r="QJG8" s="460"/>
      <c r="QJH8" s="450"/>
      <c r="QJI8" s="1857"/>
      <c r="QJJ8" s="1857"/>
      <c r="QJK8" s="1857"/>
      <c r="QJL8" s="1857"/>
      <c r="QJM8" s="1857"/>
      <c r="QJN8" s="1857"/>
      <c r="QJO8" s="1857"/>
      <c r="QJP8" s="1857"/>
      <c r="QJQ8" s="1857"/>
      <c r="QJR8" s="1857"/>
      <c r="QJS8" s="1857"/>
      <c r="QJT8" s="1857"/>
      <c r="QJU8" s="1857"/>
      <c r="QJV8" s="454"/>
      <c r="QJW8" s="1858"/>
      <c r="QJX8" s="449"/>
      <c r="QJY8" s="449"/>
      <c r="QJZ8" s="449"/>
      <c r="QKA8" s="460"/>
      <c r="QKB8" s="460"/>
      <c r="QKC8" s="460"/>
      <c r="QKD8" s="460"/>
      <c r="QKE8" s="460"/>
      <c r="QKF8" s="460"/>
      <c r="QKG8" s="450"/>
      <c r="QKH8" s="1857"/>
      <c r="QKI8" s="1857"/>
      <c r="QKJ8" s="1857"/>
      <c r="QKK8" s="1857"/>
      <c r="QKL8" s="1857"/>
      <c r="QKM8" s="1857"/>
      <c r="QKN8" s="1857"/>
      <c r="QKO8" s="1857"/>
      <c r="QKP8" s="1857"/>
      <c r="QKQ8" s="1857"/>
      <c r="QKR8" s="1857"/>
      <c r="QKS8" s="1857"/>
      <c r="QKT8" s="1857"/>
      <c r="QKU8" s="454"/>
      <c r="QKV8" s="1858"/>
      <c r="QKW8" s="449"/>
      <c r="QKX8" s="449"/>
      <c r="QKY8" s="449"/>
      <c r="QKZ8" s="460"/>
      <c r="QLA8" s="460"/>
      <c r="QLB8" s="460"/>
      <c r="QLC8" s="460"/>
      <c r="QLD8" s="460"/>
      <c r="QLE8" s="460"/>
      <c r="QLF8" s="450"/>
      <c r="QLG8" s="1857"/>
      <c r="QLH8" s="1857"/>
      <c r="QLI8" s="1857"/>
      <c r="QLJ8" s="1857"/>
      <c r="QLK8" s="1857"/>
      <c r="QLL8" s="1857"/>
      <c r="QLM8" s="1857"/>
      <c r="QLN8" s="1857"/>
      <c r="QLO8" s="1857"/>
      <c r="QLP8" s="1857"/>
      <c r="QLQ8" s="1857"/>
      <c r="QLR8" s="1857"/>
      <c r="QLS8" s="1857"/>
      <c r="QLT8" s="454"/>
      <c r="QLU8" s="1858"/>
      <c r="QLV8" s="449"/>
      <c r="QLW8" s="449"/>
      <c r="QLX8" s="449"/>
      <c r="QLY8" s="460"/>
      <c r="QLZ8" s="460"/>
      <c r="QMA8" s="460"/>
      <c r="QMB8" s="460"/>
      <c r="QMC8" s="460"/>
      <c r="QMD8" s="460"/>
      <c r="QME8" s="450"/>
      <c r="QMF8" s="1857"/>
      <c r="QMG8" s="1857"/>
      <c r="QMH8" s="1857"/>
      <c r="QMI8" s="1857"/>
      <c r="QMJ8" s="1857"/>
      <c r="QMK8" s="1857"/>
      <c r="QML8" s="1857"/>
      <c r="QMM8" s="1857"/>
      <c r="QMN8" s="1857"/>
      <c r="QMO8" s="1857"/>
      <c r="QMP8" s="1857"/>
      <c r="QMQ8" s="1857"/>
      <c r="QMR8" s="1857"/>
      <c r="QMS8" s="454"/>
      <c r="QMT8" s="1858"/>
      <c r="QMU8" s="449"/>
      <c r="QMV8" s="449"/>
      <c r="QMW8" s="449"/>
      <c r="QMX8" s="460"/>
      <c r="QMY8" s="460"/>
      <c r="QMZ8" s="460"/>
      <c r="QNA8" s="460"/>
      <c r="QNB8" s="460"/>
      <c r="QNC8" s="460"/>
      <c r="QND8" s="450"/>
      <c r="QNE8" s="1857"/>
      <c r="QNF8" s="1857"/>
      <c r="QNG8" s="1857"/>
      <c r="QNH8" s="1857"/>
      <c r="QNI8" s="1857"/>
      <c r="QNJ8" s="1857"/>
      <c r="QNK8" s="1857"/>
      <c r="QNL8" s="1857"/>
      <c r="QNM8" s="1857"/>
      <c r="QNN8" s="1857"/>
      <c r="QNO8" s="1857"/>
      <c r="QNP8" s="1857"/>
      <c r="QNQ8" s="1857"/>
      <c r="QNR8" s="454"/>
      <c r="QNS8" s="1858"/>
      <c r="QNT8" s="449"/>
      <c r="QNU8" s="449"/>
      <c r="QNV8" s="449"/>
      <c r="QNW8" s="460"/>
      <c r="QNX8" s="460"/>
      <c r="QNY8" s="460"/>
      <c r="QNZ8" s="460"/>
      <c r="QOA8" s="460"/>
      <c r="QOB8" s="460"/>
      <c r="QOC8" s="450"/>
      <c r="QOD8" s="1857"/>
      <c r="QOE8" s="1857"/>
      <c r="QOF8" s="1857"/>
      <c r="QOG8" s="1857"/>
      <c r="QOH8" s="1857"/>
      <c r="QOI8" s="1857"/>
      <c r="QOJ8" s="1857"/>
      <c r="QOK8" s="1857"/>
      <c r="QOL8" s="1857"/>
      <c r="QOM8" s="1857"/>
      <c r="QON8" s="1857"/>
      <c r="QOO8" s="1857"/>
      <c r="QOP8" s="1857"/>
      <c r="QOQ8" s="454"/>
      <c r="QOR8" s="1858"/>
      <c r="QOS8" s="449"/>
      <c r="QOT8" s="449"/>
      <c r="QOU8" s="449"/>
      <c r="QOV8" s="460"/>
      <c r="QOW8" s="460"/>
      <c r="QOX8" s="460"/>
      <c r="QOY8" s="460"/>
      <c r="QOZ8" s="460"/>
      <c r="QPA8" s="460"/>
      <c r="QPB8" s="450"/>
      <c r="QPC8" s="1857"/>
      <c r="QPD8" s="1857"/>
      <c r="QPE8" s="1857"/>
      <c r="QPF8" s="1857"/>
      <c r="QPG8" s="1857"/>
      <c r="QPH8" s="1857"/>
      <c r="QPI8" s="1857"/>
      <c r="QPJ8" s="1857"/>
      <c r="QPK8" s="1857"/>
      <c r="QPL8" s="1857"/>
      <c r="QPM8" s="1857"/>
      <c r="QPN8" s="1857"/>
      <c r="QPO8" s="1857"/>
      <c r="QPP8" s="454"/>
      <c r="QPQ8" s="1858"/>
      <c r="QPR8" s="449"/>
      <c r="QPS8" s="449"/>
      <c r="QPT8" s="449"/>
      <c r="QPU8" s="460"/>
      <c r="QPV8" s="460"/>
      <c r="QPW8" s="460"/>
      <c r="QPX8" s="460"/>
      <c r="QPY8" s="460"/>
      <c r="QPZ8" s="460"/>
      <c r="QQA8" s="450"/>
      <c r="QQB8" s="1857"/>
      <c r="QQC8" s="1857"/>
      <c r="QQD8" s="1857"/>
      <c r="QQE8" s="1857"/>
      <c r="QQF8" s="1857"/>
      <c r="QQG8" s="1857"/>
      <c r="QQH8" s="1857"/>
      <c r="QQI8" s="1857"/>
      <c r="QQJ8" s="1857"/>
      <c r="QQK8" s="1857"/>
      <c r="QQL8" s="1857"/>
      <c r="QQM8" s="1857"/>
      <c r="QQN8" s="1857"/>
      <c r="QQO8" s="454"/>
      <c r="QQP8" s="1858"/>
      <c r="QQQ8" s="449"/>
      <c r="QQR8" s="449"/>
      <c r="QQS8" s="449"/>
      <c r="QQT8" s="460"/>
      <c r="QQU8" s="460"/>
      <c r="QQV8" s="460"/>
      <c r="QQW8" s="460"/>
      <c r="QQX8" s="460"/>
      <c r="QQY8" s="460"/>
      <c r="QQZ8" s="450"/>
      <c r="QRA8" s="1857"/>
      <c r="QRB8" s="1857"/>
      <c r="QRC8" s="1857"/>
      <c r="QRD8" s="1857"/>
      <c r="QRE8" s="1857"/>
      <c r="QRF8" s="1857"/>
      <c r="QRG8" s="1857"/>
      <c r="QRH8" s="1857"/>
      <c r="QRI8" s="1857"/>
      <c r="QRJ8" s="1857"/>
      <c r="QRK8" s="1857"/>
      <c r="QRL8" s="1857"/>
      <c r="QRM8" s="1857"/>
      <c r="QRN8" s="454"/>
      <c r="QRO8" s="1858"/>
      <c r="QRP8" s="449"/>
      <c r="QRQ8" s="449"/>
      <c r="QRR8" s="449"/>
      <c r="QRS8" s="460"/>
      <c r="QRT8" s="460"/>
      <c r="QRU8" s="460"/>
      <c r="QRV8" s="460"/>
      <c r="QRW8" s="460"/>
      <c r="QRX8" s="460"/>
      <c r="QRY8" s="450"/>
      <c r="QRZ8" s="1857"/>
      <c r="QSA8" s="1857"/>
      <c r="QSB8" s="1857"/>
      <c r="QSC8" s="1857"/>
      <c r="QSD8" s="1857"/>
      <c r="QSE8" s="1857"/>
      <c r="QSF8" s="1857"/>
      <c r="QSG8" s="1857"/>
      <c r="QSH8" s="1857"/>
      <c r="QSI8" s="1857"/>
      <c r="QSJ8" s="1857"/>
      <c r="QSK8" s="1857"/>
      <c r="QSL8" s="1857"/>
      <c r="QSM8" s="454"/>
      <c r="QSN8" s="1858"/>
      <c r="QSO8" s="449"/>
      <c r="QSP8" s="449"/>
      <c r="QSQ8" s="449"/>
      <c r="QSR8" s="460"/>
      <c r="QSS8" s="460"/>
      <c r="QST8" s="460"/>
      <c r="QSU8" s="460"/>
      <c r="QSV8" s="460"/>
      <c r="QSW8" s="460"/>
      <c r="QSX8" s="450"/>
      <c r="QSY8" s="1857"/>
      <c r="QSZ8" s="1857"/>
      <c r="QTA8" s="1857"/>
      <c r="QTB8" s="1857"/>
      <c r="QTC8" s="1857"/>
      <c r="QTD8" s="1857"/>
      <c r="QTE8" s="1857"/>
      <c r="QTF8" s="1857"/>
      <c r="QTG8" s="1857"/>
      <c r="QTH8" s="1857"/>
      <c r="QTI8" s="1857"/>
      <c r="QTJ8" s="1857"/>
      <c r="QTK8" s="1857"/>
      <c r="QTL8" s="454"/>
      <c r="QTM8" s="1858"/>
      <c r="QTN8" s="449"/>
      <c r="QTO8" s="449"/>
      <c r="QTP8" s="449"/>
      <c r="QTQ8" s="460"/>
      <c r="QTR8" s="460"/>
      <c r="QTS8" s="460"/>
      <c r="QTT8" s="460"/>
      <c r="QTU8" s="460"/>
      <c r="QTV8" s="460"/>
      <c r="QTW8" s="450"/>
      <c r="QTX8" s="1857"/>
      <c r="QTY8" s="1857"/>
      <c r="QTZ8" s="1857"/>
      <c r="QUA8" s="1857"/>
      <c r="QUB8" s="1857"/>
      <c r="QUC8" s="1857"/>
      <c r="QUD8" s="1857"/>
      <c r="QUE8" s="1857"/>
      <c r="QUF8" s="1857"/>
      <c r="QUG8" s="1857"/>
      <c r="QUH8" s="1857"/>
      <c r="QUI8" s="1857"/>
      <c r="QUJ8" s="1857"/>
      <c r="QUK8" s="454"/>
      <c r="QUL8" s="1858"/>
      <c r="QUM8" s="449"/>
      <c r="QUN8" s="449"/>
      <c r="QUO8" s="449"/>
      <c r="QUP8" s="460"/>
      <c r="QUQ8" s="460"/>
      <c r="QUR8" s="460"/>
      <c r="QUS8" s="460"/>
      <c r="QUT8" s="460"/>
      <c r="QUU8" s="460"/>
      <c r="QUV8" s="450"/>
      <c r="QUW8" s="1857"/>
      <c r="QUX8" s="1857"/>
      <c r="QUY8" s="1857"/>
      <c r="QUZ8" s="1857"/>
      <c r="QVA8" s="1857"/>
      <c r="QVB8" s="1857"/>
      <c r="QVC8" s="1857"/>
      <c r="QVD8" s="1857"/>
      <c r="QVE8" s="1857"/>
      <c r="QVF8" s="1857"/>
      <c r="QVG8" s="1857"/>
      <c r="QVH8" s="1857"/>
      <c r="QVI8" s="1857"/>
      <c r="QVJ8" s="454"/>
      <c r="QVK8" s="1858"/>
      <c r="QVL8" s="449"/>
      <c r="QVM8" s="449"/>
      <c r="QVN8" s="449"/>
      <c r="QVO8" s="460"/>
      <c r="QVP8" s="460"/>
      <c r="QVQ8" s="460"/>
      <c r="QVR8" s="460"/>
      <c r="QVS8" s="460"/>
      <c r="QVT8" s="460"/>
      <c r="QVU8" s="450"/>
      <c r="QVV8" s="1857"/>
      <c r="QVW8" s="1857"/>
      <c r="QVX8" s="1857"/>
      <c r="QVY8" s="1857"/>
      <c r="QVZ8" s="1857"/>
      <c r="QWA8" s="1857"/>
      <c r="QWB8" s="1857"/>
      <c r="QWC8" s="1857"/>
      <c r="QWD8" s="1857"/>
      <c r="QWE8" s="1857"/>
      <c r="QWF8" s="1857"/>
      <c r="QWG8" s="1857"/>
      <c r="QWH8" s="1857"/>
      <c r="QWI8" s="454"/>
      <c r="QWJ8" s="1858"/>
      <c r="QWK8" s="449"/>
      <c r="QWL8" s="449"/>
      <c r="QWM8" s="449"/>
      <c r="QWN8" s="460"/>
      <c r="QWO8" s="460"/>
      <c r="QWP8" s="460"/>
      <c r="QWQ8" s="460"/>
      <c r="QWR8" s="460"/>
      <c r="QWS8" s="460"/>
      <c r="QWT8" s="450"/>
      <c r="QWU8" s="1857"/>
      <c r="QWV8" s="1857"/>
      <c r="QWW8" s="1857"/>
      <c r="QWX8" s="1857"/>
      <c r="QWY8" s="1857"/>
      <c r="QWZ8" s="1857"/>
      <c r="QXA8" s="1857"/>
      <c r="QXB8" s="1857"/>
      <c r="QXC8" s="1857"/>
      <c r="QXD8" s="1857"/>
      <c r="QXE8" s="1857"/>
      <c r="QXF8" s="1857"/>
      <c r="QXG8" s="1857"/>
      <c r="QXH8" s="454"/>
      <c r="QXI8" s="1858"/>
      <c r="QXJ8" s="449"/>
      <c r="QXK8" s="449"/>
      <c r="QXL8" s="449"/>
      <c r="QXM8" s="460"/>
      <c r="QXN8" s="460"/>
      <c r="QXO8" s="460"/>
      <c r="QXP8" s="460"/>
      <c r="QXQ8" s="460"/>
      <c r="QXR8" s="460"/>
      <c r="QXS8" s="450"/>
      <c r="QXT8" s="1857"/>
      <c r="QXU8" s="1857"/>
      <c r="QXV8" s="1857"/>
      <c r="QXW8" s="1857"/>
      <c r="QXX8" s="1857"/>
      <c r="QXY8" s="1857"/>
      <c r="QXZ8" s="1857"/>
      <c r="QYA8" s="1857"/>
      <c r="QYB8" s="1857"/>
      <c r="QYC8" s="1857"/>
      <c r="QYD8" s="1857"/>
      <c r="QYE8" s="1857"/>
      <c r="QYF8" s="1857"/>
      <c r="QYG8" s="454"/>
      <c r="QYH8" s="1858"/>
      <c r="QYI8" s="449"/>
      <c r="QYJ8" s="449"/>
      <c r="QYK8" s="449"/>
      <c r="QYL8" s="460"/>
      <c r="QYM8" s="460"/>
      <c r="QYN8" s="460"/>
      <c r="QYO8" s="460"/>
      <c r="QYP8" s="460"/>
      <c r="QYQ8" s="460"/>
      <c r="QYR8" s="450"/>
      <c r="QYS8" s="1857"/>
      <c r="QYT8" s="1857"/>
      <c r="QYU8" s="1857"/>
      <c r="QYV8" s="1857"/>
      <c r="QYW8" s="1857"/>
      <c r="QYX8" s="1857"/>
      <c r="QYY8" s="1857"/>
      <c r="QYZ8" s="1857"/>
      <c r="QZA8" s="1857"/>
      <c r="QZB8" s="1857"/>
      <c r="QZC8" s="1857"/>
      <c r="QZD8" s="1857"/>
      <c r="QZE8" s="1857"/>
      <c r="QZF8" s="454"/>
      <c r="QZG8" s="1858"/>
      <c r="QZH8" s="449"/>
      <c r="QZI8" s="449"/>
      <c r="QZJ8" s="449"/>
      <c r="QZK8" s="460"/>
      <c r="QZL8" s="460"/>
      <c r="QZM8" s="460"/>
      <c r="QZN8" s="460"/>
      <c r="QZO8" s="460"/>
      <c r="QZP8" s="460"/>
      <c r="QZQ8" s="450"/>
      <c r="QZR8" s="1857"/>
      <c r="QZS8" s="1857"/>
      <c r="QZT8" s="1857"/>
      <c r="QZU8" s="1857"/>
      <c r="QZV8" s="1857"/>
      <c r="QZW8" s="1857"/>
      <c r="QZX8" s="1857"/>
      <c r="QZY8" s="1857"/>
      <c r="QZZ8" s="1857"/>
      <c r="RAA8" s="1857"/>
      <c r="RAB8" s="1857"/>
      <c r="RAC8" s="1857"/>
      <c r="RAD8" s="1857"/>
      <c r="RAE8" s="454"/>
      <c r="RAF8" s="1858"/>
      <c r="RAG8" s="449"/>
      <c r="RAH8" s="449"/>
      <c r="RAI8" s="449"/>
      <c r="RAJ8" s="460"/>
      <c r="RAK8" s="460"/>
      <c r="RAL8" s="460"/>
      <c r="RAM8" s="460"/>
      <c r="RAN8" s="460"/>
      <c r="RAO8" s="460"/>
      <c r="RAP8" s="450"/>
      <c r="RAQ8" s="1857"/>
      <c r="RAR8" s="1857"/>
      <c r="RAS8" s="1857"/>
      <c r="RAT8" s="1857"/>
      <c r="RAU8" s="1857"/>
      <c r="RAV8" s="1857"/>
      <c r="RAW8" s="1857"/>
      <c r="RAX8" s="1857"/>
      <c r="RAY8" s="1857"/>
      <c r="RAZ8" s="1857"/>
      <c r="RBA8" s="1857"/>
      <c r="RBB8" s="1857"/>
      <c r="RBC8" s="1857"/>
      <c r="RBD8" s="454"/>
      <c r="RBE8" s="1858"/>
      <c r="RBF8" s="449"/>
      <c r="RBG8" s="449"/>
      <c r="RBH8" s="449"/>
      <c r="RBI8" s="460"/>
      <c r="RBJ8" s="460"/>
      <c r="RBK8" s="460"/>
      <c r="RBL8" s="460"/>
      <c r="RBM8" s="460"/>
      <c r="RBN8" s="460"/>
      <c r="RBO8" s="450"/>
      <c r="RBP8" s="1857"/>
      <c r="RBQ8" s="1857"/>
      <c r="RBR8" s="1857"/>
      <c r="RBS8" s="1857"/>
      <c r="RBT8" s="1857"/>
      <c r="RBU8" s="1857"/>
      <c r="RBV8" s="1857"/>
      <c r="RBW8" s="1857"/>
      <c r="RBX8" s="1857"/>
      <c r="RBY8" s="1857"/>
      <c r="RBZ8" s="1857"/>
      <c r="RCA8" s="1857"/>
      <c r="RCB8" s="1857"/>
      <c r="RCC8" s="454"/>
      <c r="RCD8" s="1858"/>
      <c r="RCE8" s="449"/>
      <c r="RCF8" s="449"/>
      <c r="RCG8" s="449"/>
      <c r="RCH8" s="460"/>
      <c r="RCI8" s="460"/>
      <c r="RCJ8" s="460"/>
      <c r="RCK8" s="460"/>
      <c r="RCL8" s="460"/>
      <c r="RCM8" s="460"/>
      <c r="RCN8" s="450"/>
      <c r="RCO8" s="1857"/>
      <c r="RCP8" s="1857"/>
      <c r="RCQ8" s="1857"/>
      <c r="RCR8" s="1857"/>
      <c r="RCS8" s="1857"/>
      <c r="RCT8" s="1857"/>
      <c r="RCU8" s="1857"/>
      <c r="RCV8" s="1857"/>
      <c r="RCW8" s="1857"/>
      <c r="RCX8" s="1857"/>
      <c r="RCY8" s="1857"/>
      <c r="RCZ8" s="1857"/>
      <c r="RDA8" s="1857"/>
      <c r="RDB8" s="454"/>
      <c r="RDC8" s="1858"/>
      <c r="RDD8" s="449"/>
      <c r="RDE8" s="449"/>
      <c r="RDF8" s="449"/>
      <c r="RDG8" s="460"/>
      <c r="RDH8" s="460"/>
      <c r="RDI8" s="460"/>
      <c r="RDJ8" s="460"/>
      <c r="RDK8" s="460"/>
      <c r="RDL8" s="460"/>
      <c r="RDM8" s="450"/>
      <c r="RDN8" s="1857"/>
      <c r="RDO8" s="1857"/>
      <c r="RDP8" s="1857"/>
      <c r="RDQ8" s="1857"/>
      <c r="RDR8" s="1857"/>
      <c r="RDS8" s="1857"/>
      <c r="RDT8" s="1857"/>
      <c r="RDU8" s="1857"/>
      <c r="RDV8" s="1857"/>
      <c r="RDW8" s="1857"/>
      <c r="RDX8" s="1857"/>
      <c r="RDY8" s="1857"/>
      <c r="RDZ8" s="1857"/>
      <c r="REA8" s="454"/>
      <c r="REB8" s="1858"/>
      <c r="REC8" s="449"/>
      <c r="RED8" s="449"/>
      <c r="REE8" s="449"/>
      <c r="REF8" s="460"/>
      <c r="REG8" s="460"/>
      <c r="REH8" s="460"/>
      <c r="REI8" s="460"/>
      <c r="REJ8" s="460"/>
      <c r="REK8" s="460"/>
      <c r="REL8" s="450"/>
      <c r="REM8" s="1857"/>
      <c r="REN8" s="1857"/>
      <c r="REO8" s="1857"/>
      <c r="REP8" s="1857"/>
      <c r="REQ8" s="1857"/>
      <c r="RER8" s="1857"/>
      <c r="RES8" s="1857"/>
      <c r="RET8" s="1857"/>
      <c r="REU8" s="1857"/>
      <c r="REV8" s="1857"/>
      <c r="REW8" s="1857"/>
      <c r="REX8" s="1857"/>
      <c r="REY8" s="1857"/>
      <c r="REZ8" s="454"/>
      <c r="RFA8" s="1858"/>
      <c r="RFB8" s="449"/>
      <c r="RFC8" s="449"/>
      <c r="RFD8" s="449"/>
      <c r="RFE8" s="460"/>
      <c r="RFF8" s="460"/>
      <c r="RFG8" s="460"/>
      <c r="RFH8" s="460"/>
      <c r="RFI8" s="460"/>
      <c r="RFJ8" s="460"/>
      <c r="RFK8" s="450"/>
      <c r="RFL8" s="1857"/>
      <c r="RFM8" s="1857"/>
      <c r="RFN8" s="1857"/>
      <c r="RFO8" s="1857"/>
      <c r="RFP8" s="1857"/>
      <c r="RFQ8" s="1857"/>
      <c r="RFR8" s="1857"/>
      <c r="RFS8" s="1857"/>
      <c r="RFT8" s="1857"/>
      <c r="RFU8" s="1857"/>
      <c r="RFV8" s="1857"/>
      <c r="RFW8" s="1857"/>
      <c r="RFX8" s="1857"/>
      <c r="RFY8" s="454"/>
      <c r="RFZ8" s="1858"/>
      <c r="RGA8" s="449"/>
      <c r="RGB8" s="449"/>
      <c r="RGC8" s="449"/>
      <c r="RGD8" s="460"/>
      <c r="RGE8" s="460"/>
      <c r="RGF8" s="460"/>
      <c r="RGG8" s="460"/>
      <c r="RGH8" s="460"/>
      <c r="RGI8" s="460"/>
      <c r="RGJ8" s="450"/>
      <c r="RGK8" s="1857"/>
      <c r="RGL8" s="1857"/>
      <c r="RGM8" s="1857"/>
      <c r="RGN8" s="1857"/>
      <c r="RGO8" s="1857"/>
      <c r="RGP8" s="1857"/>
      <c r="RGQ8" s="1857"/>
      <c r="RGR8" s="1857"/>
      <c r="RGS8" s="1857"/>
      <c r="RGT8" s="1857"/>
      <c r="RGU8" s="1857"/>
      <c r="RGV8" s="1857"/>
      <c r="RGW8" s="1857"/>
      <c r="RGX8" s="454"/>
      <c r="RGY8" s="1858"/>
      <c r="RGZ8" s="449"/>
      <c r="RHA8" s="449"/>
      <c r="RHB8" s="449"/>
      <c r="RHC8" s="460"/>
      <c r="RHD8" s="460"/>
      <c r="RHE8" s="460"/>
      <c r="RHF8" s="460"/>
      <c r="RHG8" s="460"/>
      <c r="RHH8" s="460"/>
      <c r="RHI8" s="450"/>
      <c r="RHJ8" s="1857"/>
      <c r="RHK8" s="1857"/>
      <c r="RHL8" s="1857"/>
      <c r="RHM8" s="1857"/>
      <c r="RHN8" s="1857"/>
      <c r="RHO8" s="1857"/>
      <c r="RHP8" s="1857"/>
      <c r="RHQ8" s="1857"/>
      <c r="RHR8" s="1857"/>
      <c r="RHS8" s="1857"/>
      <c r="RHT8" s="1857"/>
      <c r="RHU8" s="1857"/>
      <c r="RHV8" s="1857"/>
      <c r="RHW8" s="454"/>
      <c r="RHX8" s="1858"/>
      <c r="RHY8" s="449"/>
      <c r="RHZ8" s="449"/>
      <c r="RIA8" s="449"/>
      <c r="RIB8" s="460"/>
      <c r="RIC8" s="460"/>
      <c r="RID8" s="460"/>
      <c r="RIE8" s="460"/>
      <c r="RIF8" s="460"/>
      <c r="RIG8" s="460"/>
      <c r="RIH8" s="450"/>
      <c r="RII8" s="1857"/>
      <c r="RIJ8" s="1857"/>
      <c r="RIK8" s="1857"/>
      <c r="RIL8" s="1857"/>
      <c r="RIM8" s="1857"/>
      <c r="RIN8" s="1857"/>
      <c r="RIO8" s="1857"/>
      <c r="RIP8" s="1857"/>
      <c r="RIQ8" s="1857"/>
      <c r="RIR8" s="1857"/>
      <c r="RIS8" s="1857"/>
      <c r="RIT8" s="1857"/>
      <c r="RIU8" s="1857"/>
      <c r="RIV8" s="454"/>
      <c r="RIW8" s="1858"/>
      <c r="RIX8" s="449"/>
      <c r="RIY8" s="449"/>
      <c r="RIZ8" s="449"/>
      <c r="RJA8" s="460"/>
      <c r="RJB8" s="460"/>
      <c r="RJC8" s="460"/>
      <c r="RJD8" s="460"/>
      <c r="RJE8" s="460"/>
      <c r="RJF8" s="460"/>
      <c r="RJG8" s="450"/>
      <c r="RJH8" s="1857"/>
      <c r="RJI8" s="1857"/>
      <c r="RJJ8" s="1857"/>
      <c r="RJK8" s="1857"/>
      <c r="RJL8" s="1857"/>
      <c r="RJM8" s="1857"/>
      <c r="RJN8" s="1857"/>
      <c r="RJO8" s="1857"/>
      <c r="RJP8" s="1857"/>
      <c r="RJQ8" s="1857"/>
      <c r="RJR8" s="1857"/>
      <c r="RJS8" s="1857"/>
      <c r="RJT8" s="1857"/>
      <c r="RJU8" s="454"/>
      <c r="RJV8" s="1858"/>
      <c r="RJW8" s="449"/>
      <c r="RJX8" s="449"/>
      <c r="RJY8" s="449"/>
      <c r="RJZ8" s="460"/>
      <c r="RKA8" s="460"/>
      <c r="RKB8" s="460"/>
      <c r="RKC8" s="460"/>
      <c r="RKD8" s="460"/>
      <c r="RKE8" s="460"/>
      <c r="RKF8" s="450"/>
      <c r="RKG8" s="1857"/>
      <c r="RKH8" s="1857"/>
      <c r="RKI8" s="1857"/>
      <c r="RKJ8" s="1857"/>
      <c r="RKK8" s="1857"/>
      <c r="RKL8" s="1857"/>
      <c r="RKM8" s="1857"/>
      <c r="RKN8" s="1857"/>
      <c r="RKO8" s="1857"/>
      <c r="RKP8" s="1857"/>
      <c r="RKQ8" s="1857"/>
      <c r="RKR8" s="1857"/>
      <c r="RKS8" s="1857"/>
      <c r="RKT8" s="454"/>
      <c r="RKU8" s="1858"/>
      <c r="RKV8" s="449"/>
      <c r="RKW8" s="449"/>
      <c r="RKX8" s="449"/>
      <c r="RKY8" s="460"/>
      <c r="RKZ8" s="460"/>
      <c r="RLA8" s="460"/>
      <c r="RLB8" s="460"/>
      <c r="RLC8" s="460"/>
      <c r="RLD8" s="460"/>
      <c r="RLE8" s="450"/>
      <c r="RLF8" s="1857"/>
      <c r="RLG8" s="1857"/>
      <c r="RLH8" s="1857"/>
      <c r="RLI8" s="1857"/>
      <c r="RLJ8" s="1857"/>
      <c r="RLK8" s="1857"/>
      <c r="RLL8" s="1857"/>
      <c r="RLM8" s="1857"/>
      <c r="RLN8" s="1857"/>
      <c r="RLO8" s="1857"/>
      <c r="RLP8" s="1857"/>
      <c r="RLQ8" s="1857"/>
      <c r="RLR8" s="1857"/>
      <c r="RLS8" s="454"/>
      <c r="RLT8" s="1858"/>
      <c r="RLU8" s="449"/>
      <c r="RLV8" s="449"/>
      <c r="RLW8" s="449"/>
      <c r="RLX8" s="460"/>
      <c r="RLY8" s="460"/>
      <c r="RLZ8" s="460"/>
      <c r="RMA8" s="460"/>
      <c r="RMB8" s="460"/>
      <c r="RMC8" s="460"/>
      <c r="RMD8" s="450"/>
      <c r="RME8" s="1857"/>
      <c r="RMF8" s="1857"/>
      <c r="RMG8" s="1857"/>
      <c r="RMH8" s="1857"/>
      <c r="RMI8" s="1857"/>
      <c r="RMJ8" s="1857"/>
      <c r="RMK8" s="1857"/>
      <c r="RML8" s="1857"/>
      <c r="RMM8" s="1857"/>
      <c r="RMN8" s="1857"/>
      <c r="RMO8" s="1857"/>
      <c r="RMP8" s="1857"/>
      <c r="RMQ8" s="1857"/>
      <c r="RMR8" s="454"/>
      <c r="RMS8" s="1858"/>
      <c r="RMT8" s="449"/>
      <c r="RMU8" s="449"/>
      <c r="RMV8" s="449"/>
      <c r="RMW8" s="460"/>
      <c r="RMX8" s="460"/>
      <c r="RMY8" s="460"/>
      <c r="RMZ8" s="460"/>
      <c r="RNA8" s="460"/>
      <c r="RNB8" s="460"/>
      <c r="RNC8" s="450"/>
      <c r="RND8" s="1857"/>
      <c r="RNE8" s="1857"/>
      <c r="RNF8" s="1857"/>
      <c r="RNG8" s="1857"/>
      <c r="RNH8" s="1857"/>
      <c r="RNI8" s="1857"/>
      <c r="RNJ8" s="1857"/>
      <c r="RNK8" s="1857"/>
      <c r="RNL8" s="1857"/>
      <c r="RNM8" s="1857"/>
      <c r="RNN8" s="1857"/>
      <c r="RNO8" s="1857"/>
      <c r="RNP8" s="1857"/>
      <c r="RNQ8" s="454"/>
      <c r="RNR8" s="1858"/>
      <c r="RNS8" s="449"/>
      <c r="RNT8" s="449"/>
      <c r="RNU8" s="449"/>
      <c r="RNV8" s="460"/>
      <c r="RNW8" s="460"/>
      <c r="RNX8" s="460"/>
      <c r="RNY8" s="460"/>
      <c r="RNZ8" s="460"/>
      <c r="ROA8" s="460"/>
      <c r="ROB8" s="450"/>
      <c r="ROC8" s="1857"/>
      <c r="ROD8" s="1857"/>
      <c r="ROE8" s="1857"/>
      <c r="ROF8" s="1857"/>
      <c r="ROG8" s="1857"/>
      <c r="ROH8" s="1857"/>
      <c r="ROI8" s="1857"/>
      <c r="ROJ8" s="1857"/>
      <c r="ROK8" s="1857"/>
      <c r="ROL8" s="1857"/>
      <c r="ROM8" s="1857"/>
      <c r="RON8" s="1857"/>
      <c r="ROO8" s="1857"/>
      <c r="ROP8" s="454"/>
      <c r="ROQ8" s="1858"/>
      <c r="ROR8" s="449"/>
      <c r="ROS8" s="449"/>
      <c r="ROT8" s="449"/>
      <c r="ROU8" s="460"/>
      <c r="ROV8" s="460"/>
      <c r="ROW8" s="460"/>
      <c r="ROX8" s="460"/>
      <c r="ROY8" s="460"/>
      <c r="ROZ8" s="460"/>
      <c r="RPA8" s="450"/>
      <c r="RPB8" s="1857"/>
      <c r="RPC8" s="1857"/>
      <c r="RPD8" s="1857"/>
      <c r="RPE8" s="1857"/>
      <c r="RPF8" s="1857"/>
      <c r="RPG8" s="1857"/>
      <c r="RPH8" s="1857"/>
      <c r="RPI8" s="1857"/>
      <c r="RPJ8" s="1857"/>
      <c r="RPK8" s="1857"/>
      <c r="RPL8" s="1857"/>
      <c r="RPM8" s="1857"/>
      <c r="RPN8" s="1857"/>
      <c r="RPO8" s="454"/>
      <c r="RPP8" s="1858"/>
      <c r="RPQ8" s="449"/>
      <c r="RPR8" s="449"/>
      <c r="RPS8" s="449"/>
      <c r="RPT8" s="460"/>
      <c r="RPU8" s="460"/>
      <c r="RPV8" s="460"/>
      <c r="RPW8" s="460"/>
      <c r="RPX8" s="460"/>
      <c r="RPY8" s="460"/>
      <c r="RPZ8" s="450"/>
      <c r="RQA8" s="1857"/>
      <c r="RQB8" s="1857"/>
      <c r="RQC8" s="1857"/>
      <c r="RQD8" s="1857"/>
      <c r="RQE8" s="1857"/>
      <c r="RQF8" s="1857"/>
      <c r="RQG8" s="1857"/>
      <c r="RQH8" s="1857"/>
      <c r="RQI8" s="1857"/>
      <c r="RQJ8" s="1857"/>
      <c r="RQK8" s="1857"/>
      <c r="RQL8" s="1857"/>
      <c r="RQM8" s="1857"/>
      <c r="RQN8" s="454"/>
      <c r="RQO8" s="1858"/>
      <c r="RQP8" s="449"/>
      <c r="RQQ8" s="449"/>
      <c r="RQR8" s="449"/>
      <c r="RQS8" s="460"/>
      <c r="RQT8" s="460"/>
      <c r="RQU8" s="460"/>
      <c r="RQV8" s="460"/>
      <c r="RQW8" s="460"/>
      <c r="RQX8" s="460"/>
      <c r="RQY8" s="450"/>
      <c r="RQZ8" s="1857"/>
      <c r="RRA8" s="1857"/>
      <c r="RRB8" s="1857"/>
      <c r="RRC8" s="1857"/>
      <c r="RRD8" s="1857"/>
      <c r="RRE8" s="1857"/>
      <c r="RRF8" s="1857"/>
      <c r="RRG8" s="1857"/>
      <c r="RRH8" s="1857"/>
      <c r="RRI8" s="1857"/>
      <c r="RRJ8" s="1857"/>
      <c r="RRK8" s="1857"/>
      <c r="RRL8" s="1857"/>
      <c r="RRM8" s="454"/>
      <c r="RRN8" s="1858"/>
      <c r="RRO8" s="449"/>
      <c r="RRP8" s="449"/>
      <c r="RRQ8" s="449"/>
      <c r="RRR8" s="460"/>
      <c r="RRS8" s="460"/>
      <c r="RRT8" s="460"/>
      <c r="RRU8" s="460"/>
      <c r="RRV8" s="460"/>
      <c r="RRW8" s="460"/>
      <c r="RRX8" s="450"/>
      <c r="RRY8" s="1857"/>
      <c r="RRZ8" s="1857"/>
      <c r="RSA8" s="1857"/>
      <c r="RSB8" s="1857"/>
      <c r="RSC8" s="1857"/>
      <c r="RSD8" s="1857"/>
      <c r="RSE8" s="1857"/>
      <c r="RSF8" s="1857"/>
      <c r="RSG8" s="1857"/>
      <c r="RSH8" s="1857"/>
      <c r="RSI8" s="1857"/>
      <c r="RSJ8" s="1857"/>
      <c r="RSK8" s="1857"/>
      <c r="RSL8" s="454"/>
      <c r="RSM8" s="1858"/>
      <c r="RSN8" s="449"/>
      <c r="RSO8" s="449"/>
      <c r="RSP8" s="449"/>
      <c r="RSQ8" s="460"/>
      <c r="RSR8" s="460"/>
      <c r="RSS8" s="460"/>
      <c r="RST8" s="460"/>
      <c r="RSU8" s="460"/>
      <c r="RSV8" s="460"/>
      <c r="RSW8" s="450"/>
      <c r="RSX8" s="1857"/>
      <c r="RSY8" s="1857"/>
      <c r="RSZ8" s="1857"/>
      <c r="RTA8" s="1857"/>
      <c r="RTB8" s="1857"/>
      <c r="RTC8" s="1857"/>
      <c r="RTD8" s="1857"/>
      <c r="RTE8" s="1857"/>
      <c r="RTF8" s="1857"/>
      <c r="RTG8" s="1857"/>
      <c r="RTH8" s="1857"/>
      <c r="RTI8" s="1857"/>
      <c r="RTJ8" s="1857"/>
      <c r="RTK8" s="454"/>
      <c r="RTL8" s="1858"/>
      <c r="RTM8" s="449"/>
      <c r="RTN8" s="449"/>
      <c r="RTO8" s="449"/>
      <c r="RTP8" s="460"/>
      <c r="RTQ8" s="460"/>
      <c r="RTR8" s="460"/>
      <c r="RTS8" s="460"/>
      <c r="RTT8" s="460"/>
      <c r="RTU8" s="460"/>
      <c r="RTV8" s="450"/>
      <c r="RTW8" s="1857"/>
      <c r="RTX8" s="1857"/>
      <c r="RTY8" s="1857"/>
      <c r="RTZ8" s="1857"/>
      <c r="RUA8" s="1857"/>
      <c r="RUB8" s="1857"/>
      <c r="RUC8" s="1857"/>
      <c r="RUD8" s="1857"/>
      <c r="RUE8" s="1857"/>
      <c r="RUF8" s="1857"/>
      <c r="RUG8" s="1857"/>
      <c r="RUH8" s="1857"/>
      <c r="RUI8" s="1857"/>
      <c r="RUJ8" s="454"/>
      <c r="RUK8" s="1858"/>
      <c r="RUL8" s="449"/>
      <c r="RUM8" s="449"/>
      <c r="RUN8" s="449"/>
      <c r="RUO8" s="460"/>
      <c r="RUP8" s="460"/>
      <c r="RUQ8" s="460"/>
      <c r="RUR8" s="460"/>
      <c r="RUS8" s="460"/>
      <c r="RUT8" s="460"/>
      <c r="RUU8" s="450"/>
      <c r="RUV8" s="1857"/>
      <c r="RUW8" s="1857"/>
      <c r="RUX8" s="1857"/>
      <c r="RUY8" s="1857"/>
      <c r="RUZ8" s="1857"/>
      <c r="RVA8" s="1857"/>
      <c r="RVB8" s="1857"/>
      <c r="RVC8" s="1857"/>
      <c r="RVD8" s="1857"/>
      <c r="RVE8" s="1857"/>
      <c r="RVF8" s="1857"/>
      <c r="RVG8" s="1857"/>
      <c r="RVH8" s="1857"/>
      <c r="RVI8" s="454"/>
      <c r="RVJ8" s="1858"/>
      <c r="RVK8" s="449"/>
      <c r="RVL8" s="449"/>
      <c r="RVM8" s="449"/>
      <c r="RVN8" s="460"/>
      <c r="RVO8" s="460"/>
      <c r="RVP8" s="460"/>
      <c r="RVQ8" s="460"/>
      <c r="RVR8" s="460"/>
      <c r="RVS8" s="460"/>
      <c r="RVT8" s="450"/>
      <c r="RVU8" s="1857"/>
      <c r="RVV8" s="1857"/>
      <c r="RVW8" s="1857"/>
      <c r="RVX8" s="1857"/>
      <c r="RVY8" s="1857"/>
      <c r="RVZ8" s="1857"/>
      <c r="RWA8" s="1857"/>
      <c r="RWB8" s="1857"/>
      <c r="RWC8" s="1857"/>
      <c r="RWD8" s="1857"/>
      <c r="RWE8" s="1857"/>
      <c r="RWF8" s="1857"/>
      <c r="RWG8" s="1857"/>
      <c r="RWH8" s="454"/>
      <c r="RWI8" s="1858"/>
      <c r="RWJ8" s="449"/>
      <c r="RWK8" s="449"/>
      <c r="RWL8" s="449"/>
      <c r="RWM8" s="460"/>
      <c r="RWN8" s="460"/>
      <c r="RWO8" s="460"/>
      <c r="RWP8" s="460"/>
      <c r="RWQ8" s="460"/>
      <c r="RWR8" s="460"/>
      <c r="RWS8" s="450"/>
      <c r="RWT8" s="1857"/>
      <c r="RWU8" s="1857"/>
      <c r="RWV8" s="1857"/>
      <c r="RWW8" s="1857"/>
      <c r="RWX8" s="1857"/>
      <c r="RWY8" s="1857"/>
      <c r="RWZ8" s="1857"/>
      <c r="RXA8" s="1857"/>
      <c r="RXB8" s="1857"/>
      <c r="RXC8" s="1857"/>
      <c r="RXD8" s="1857"/>
      <c r="RXE8" s="1857"/>
      <c r="RXF8" s="1857"/>
      <c r="RXG8" s="454"/>
      <c r="RXH8" s="1858"/>
      <c r="RXI8" s="449"/>
      <c r="RXJ8" s="449"/>
      <c r="RXK8" s="449"/>
      <c r="RXL8" s="460"/>
      <c r="RXM8" s="460"/>
      <c r="RXN8" s="460"/>
      <c r="RXO8" s="460"/>
      <c r="RXP8" s="460"/>
      <c r="RXQ8" s="460"/>
      <c r="RXR8" s="450"/>
      <c r="RXS8" s="1857"/>
      <c r="RXT8" s="1857"/>
      <c r="RXU8" s="1857"/>
      <c r="RXV8" s="1857"/>
      <c r="RXW8" s="1857"/>
      <c r="RXX8" s="1857"/>
      <c r="RXY8" s="1857"/>
      <c r="RXZ8" s="1857"/>
      <c r="RYA8" s="1857"/>
      <c r="RYB8" s="1857"/>
      <c r="RYC8" s="1857"/>
      <c r="RYD8" s="1857"/>
      <c r="RYE8" s="1857"/>
      <c r="RYF8" s="454"/>
      <c r="RYG8" s="1858"/>
      <c r="RYH8" s="449"/>
      <c r="RYI8" s="449"/>
      <c r="RYJ8" s="449"/>
      <c r="RYK8" s="460"/>
      <c r="RYL8" s="460"/>
      <c r="RYM8" s="460"/>
      <c r="RYN8" s="460"/>
      <c r="RYO8" s="460"/>
      <c r="RYP8" s="460"/>
      <c r="RYQ8" s="450"/>
      <c r="RYR8" s="1857"/>
      <c r="RYS8" s="1857"/>
      <c r="RYT8" s="1857"/>
      <c r="RYU8" s="1857"/>
      <c r="RYV8" s="1857"/>
      <c r="RYW8" s="1857"/>
      <c r="RYX8" s="1857"/>
      <c r="RYY8" s="1857"/>
      <c r="RYZ8" s="1857"/>
      <c r="RZA8" s="1857"/>
      <c r="RZB8" s="1857"/>
      <c r="RZC8" s="1857"/>
      <c r="RZD8" s="1857"/>
      <c r="RZE8" s="454"/>
      <c r="RZF8" s="1858"/>
      <c r="RZG8" s="449"/>
      <c r="RZH8" s="449"/>
      <c r="RZI8" s="449"/>
      <c r="RZJ8" s="460"/>
      <c r="RZK8" s="460"/>
      <c r="RZL8" s="460"/>
      <c r="RZM8" s="460"/>
      <c r="RZN8" s="460"/>
      <c r="RZO8" s="460"/>
      <c r="RZP8" s="450"/>
      <c r="RZQ8" s="1857"/>
      <c r="RZR8" s="1857"/>
      <c r="RZS8" s="1857"/>
      <c r="RZT8" s="1857"/>
      <c r="RZU8" s="1857"/>
      <c r="RZV8" s="1857"/>
      <c r="RZW8" s="1857"/>
      <c r="RZX8" s="1857"/>
      <c r="RZY8" s="1857"/>
      <c r="RZZ8" s="1857"/>
      <c r="SAA8" s="1857"/>
      <c r="SAB8" s="1857"/>
      <c r="SAC8" s="1857"/>
      <c r="SAD8" s="454"/>
      <c r="SAE8" s="1858"/>
      <c r="SAF8" s="449"/>
      <c r="SAG8" s="449"/>
      <c r="SAH8" s="449"/>
      <c r="SAI8" s="460"/>
      <c r="SAJ8" s="460"/>
      <c r="SAK8" s="460"/>
      <c r="SAL8" s="460"/>
      <c r="SAM8" s="460"/>
      <c r="SAN8" s="460"/>
      <c r="SAO8" s="450"/>
      <c r="SAP8" s="1857"/>
      <c r="SAQ8" s="1857"/>
      <c r="SAR8" s="1857"/>
      <c r="SAS8" s="1857"/>
      <c r="SAT8" s="1857"/>
      <c r="SAU8" s="1857"/>
      <c r="SAV8" s="1857"/>
      <c r="SAW8" s="1857"/>
      <c r="SAX8" s="1857"/>
      <c r="SAY8" s="1857"/>
      <c r="SAZ8" s="1857"/>
      <c r="SBA8" s="1857"/>
      <c r="SBB8" s="1857"/>
      <c r="SBC8" s="454"/>
      <c r="SBD8" s="1858"/>
      <c r="SBE8" s="449"/>
      <c r="SBF8" s="449"/>
      <c r="SBG8" s="449"/>
      <c r="SBH8" s="460"/>
      <c r="SBI8" s="460"/>
      <c r="SBJ8" s="460"/>
      <c r="SBK8" s="460"/>
      <c r="SBL8" s="460"/>
      <c r="SBM8" s="460"/>
      <c r="SBN8" s="450"/>
      <c r="SBO8" s="1857"/>
      <c r="SBP8" s="1857"/>
      <c r="SBQ8" s="1857"/>
      <c r="SBR8" s="1857"/>
      <c r="SBS8" s="1857"/>
      <c r="SBT8" s="1857"/>
      <c r="SBU8" s="1857"/>
      <c r="SBV8" s="1857"/>
      <c r="SBW8" s="1857"/>
      <c r="SBX8" s="1857"/>
      <c r="SBY8" s="1857"/>
      <c r="SBZ8" s="1857"/>
      <c r="SCA8" s="1857"/>
      <c r="SCB8" s="454"/>
      <c r="SCC8" s="1858"/>
      <c r="SCD8" s="449"/>
      <c r="SCE8" s="449"/>
      <c r="SCF8" s="449"/>
      <c r="SCG8" s="460"/>
      <c r="SCH8" s="460"/>
      <c r="SCI8" s="460"/>
      <c r="SCJ8" s="460"/>
      <c r="SCK8" s="460"/>
      <c r="SCL8" s="460"/>
      <c r="SCM8" s="450"/>
      <c r="SCN8" s="1857"/>
      <c r="SCO8" s="1857"/>
      <c r="SCP8" s="1857"/>
      <c r="SCQ8" s="1857"/>
      <c r="SCR8" s="1857"/>
      <c r="SCS8" s="1857"/>
      <c r="SCT8" s="1857"/>
      <c r="SCU8" s="1857"/>
      <c r="SCV8" s="1857"/>
      <c r="SCW8" s="1857"/>
      <c r="SCX8" s="1857"/>
      <c r="SCY8" s="1857"/>
      <c r="SCZ8" s="1857"/>
      <c r="SDA8" s="454"/>
      <c r="SDB8" s="1858"/>
      <c r="SDC8" s="449"/>
      <c r="SDD8" s="449"/>
      <c r="SDE8" s="449"/>
      <c r="SDF8" s="460"/>
      <c r="SDG8" s="460"/>
      <c r="SDH8" s="460"/>
      <c r="SDI8" s="460"/>
      <c r="SDJ8" s="460"/>
      <c r="SDK8" s="460"/>
      <c r="SDL8" s="450"/>
      <c r="SDM8" s="1857"/>
      <c r="SDN8" s="1857"/>
      <c r="SDO8" s="1857"/>
      <c r="SDP8" s="1857"/>
      <c r="SDQ8" s="1857"/>
      <c r="SDR8" s="1857"/>
      <c r="SDS8" s="1857"/>
      <c r="SDT8" s="1857"/>
      <c r="SDU8" s="1857"/>
      <c r="SDV8" s="1857"/>
      <c r="SDW8" s="1857"/>
      <c r="SDX8" s="1857"/>
      <c r="SDY8" s="1857"/>
      <c r="SDZ8" s="454"/>
      <c r="SEA8" s="1858"/>
      <c r="SEB8" s="449"/>
      <c r="SEC8" s="449"/>
      <c r="SED8" s="449"/>
      <c r="SEE8" s="460"/>
      <c r="SEF8" s="460"/>
      <c r="SEG8" s="460"/>
      <c r="SEH8" s="460"/>
      <c r="SEI8" s="460"/>
      <c r="SEJ8" s="460"/>
      <c r="SEK8" s="450"/>
      <c r="SEL8" s="1857"/>
      <c r="SEM8" s="1857"/>
      <c r="SEN8" s="1857"/>
      <c r="SEO8" s="1857"/>
      <c r="SEP8" s="1857"/>
      <c r="SEQ8" s="1857"/>
      <c r="SER8" s="1857"/>
      <c r="SES8" s="1857"/>
      <c r="SET8" s="1857"/>
      <c r="SEU8" s="1857"/>
      <c r="SEV8" s="1857"/>
      <c r="SEW8" s="1857"/>
      <c r="SEX8" s="1857"/>
      <c r="SEY8" s="454"/>
      <c r="SEZ8" s="1858"/>
      <c r="SFA8" s="449"/>
      <c r="SFB8" s="449"/>
      <c r="SFC8" s="449"/>
      <c r="SFD8" s="460"/>
      <c r="SFE8" s="460"/>
      <c r="SFF8" s="460"/>
      <c r="SFG8" s="460"/>
      <c r="SFH8" s="460"/>
      <c r="SFI8" s="460"/>
      <c r="SFJ8" s="450"/>
      <c r="SFK8" s="1857"/>
      <c r="SFL8" s="1857"/>
      <c r="SFM8" s="1857"/>
      <c r="SFN8" s="1857"/>
      <c r="SFO8" s="1857"/>
      <c r="SFP8" s="1857"/>
      <c r="SFQ8" s="1857"/>
      <c r="SFR8" s="1857"/>
      <c r="SFS8" s="1857"/>
      <c r="SFT8" s="1857"/>
      <c r="SFU8" s="1857"/>
      <c r="SFV8" s="1857"/>
      <c r="SFW8" s="1857"/>
      <c r="SFX8" s="454"/>
      <c r="SFY8" s="1858"/>
      <c r="SFZ8" s="449"/>
      <c r="SGA8" s="449"/>
      <c r="SGB8" s="449"/>
      <c r="SGC8" s="460"/>
      <c r="SGD8" s="460"/>
      <c r="SGE8" s="460"/>
      <c r="SGF8" s="460"/>
      <c r="SGG8" s="460"/>
      <c r="SGH8" s="460"/>
      <c r="SGI8" s="450"/>
      <c r="SGJ8" s="1857"/>
      <c r="SGK8" s="1857"/>
      <c r="SGL8" s="1857"/>
      <c r="SGM8" s="1857"/>
      <c r="SGN8" s="1857"/>
      <c r="SGO8" s="1857"/>
      <c r="SGP8" s="1857"/>
      <c r="SGQ8" s="1857"/>
      <c r="SGR8" s="1857"/>
      <c r="SGS8" s="1857"/>
      <c r="SGT8" s="1857"/>
      <c r="SGU8" s="1857"/>
      <c r="SGV8" s="1857"/>
      <c r="SGW8" s="454"/>
      <c r="SGX8" s="1858"/>
      <c r="SGY8" s="449"/>
      <c r="SGZ8" s="449"/>
      <c r="SHA8" s="449"/>
      <c r="SHB8" s="460"/>
      <c r="SHC8" s="460"/>
      <c r="SHD8" s="460"/>
      <c r="SHE8" s="460"/>
      <c r="SHF8" s="460"/>
      <c r="SHG8" s="460"/>
      <c r="SHH8" s="450"/>
      <c r="SHI8" s="1857"/>
      <c r="SHJ8" s="1857"/>
      <c r="SHK8" s="1857"/>
      <c r="SHL8" s="1857"/>
      <c r="SHM8" s="1857"/>
      <c r="SHN8" s="1857"/>
      <c r="SHO8" s="1857"/>
      <c r="SHP8" s="1857"/>
      <c r="SHQ8" s="1857"/>
      <c r="SHR8" s="1857"/>
      <c r="SHS8" s="1857"/>
      <c r="SHT8" s="1857"/>
      <c r="SHU8" s="1857"/>
      <c r="SHV8" s="454"/>
      <c r="SHW8" s="1858"/>
      <c r="SHX8" s="449"/>
      <c r="SHY8" s="449"/>
      <c r="SHZ8" s="449"/>
      <c r="SIA8" s="460"/>
      <c r="SIB8" s="460"/>
      <c r="SIC8" s="460"/>
      <c r="SID8" s="460"/>
      <c r="SIE8" s="460"/>
      <c r="SIF8" s="460"/>
      <c r="SIG8" s="450"/>
      <c r="SIH8" s="1857"/>
      <c r="SII8" s="1857"/>
      <c r="SIJ8" s="1857"/>
      <c r="SIK8" s="1857"/>
      <c r="SIL8" s="1857"/>
      <c r="SIM8" s="1857"/>
      <c r="SIN8" s="1857"/>
      <c r="SIO8" s="1857"/>
      <c r="SIP8" s="1857"/>
      <c r="SIQ8" s="1857"/>
      <c r="SIR8" s="1857"/>
      <c r="SIS8" s="1857"/>
      <c r="SIT8" s="1857"/>
      <c r="SIU8" s="454"/>
      <c r="SIV8" s="1858"/>
      <c r="SIW8" s="449"/>
      <c r="SIX8" s="449"/>
      <c r="SIY8" s="449"/>
      <c r="SIZ8" s="460"/>
      <c r="SJA8" s="460"/>
      <c r="SJB8" s="460"/>
      <c r="SJC8" s="460"/>
      <c r="SJD8" s="460"/>
      <c r="SJE8" s="460"/>
      <c r="SJF8" s="450"/>
      <c r="SJG8" s="1857"/>
      <c r="SJH8" s="1857"/>
      <c r="SJI8" s="1857"/>
      <c r="SJJ8" s="1857"/>
      <c r="SJK8" s="1857"/>
      <c r="SJL8" s="1857"/>
      <c r="SJM8" s="1857"/>
      <c r="SJN8" s="1857"/>
      <c r="SJO8" s="1857"/>
      <c r="SJP8" s="1857"/>
      <c r="SJQ8" s="1857"/>
      <c r="SJR8" s="1857"/>
      <c r="SJS8" s="1857"/>
      <c r="SJT8" s="454"/>
      <c r="SJU8" s="1858"/>
      <c r="SJV8" s="449"/>
      <c r="SJW8" s="449"/>
      <c r="SJX8" s="449"/>
      <c r="SJY8" s="460"/>
      <c r="SJZ8" s="460"/>
      <c r="SKA8" s="460"/>
      <c r="SKB8" s="460"/>
      <c r="SKC8" s="460"/>
      <c r="SKD8" s="460"/>
      <c r="SKE8" s="450"/>
      <c r="SKF8" s="1857"/>
      <c r="SKG8" s="1857"/>
      <c r="SKH8" s="1857"/>
      <c r="SKI8" s="1857"/>
      <c r="SKJ8" s="1857"/>
      <c r="SKK8" s="1857"/>
      <c r="SKL8" s="1857"/>
      <c r="SKM8" s="1857"/>
      <c r="SKN8" s="1857"/>
      <c r="SKO8" s="1857"/>
      <c r="SKP8" s="1857"/>
      <c r="SKQ8" s="1857"/>
      <c r="SKR8" s="1857"/>
      <c r="SKS8" s="454"/>
      <c r="SKT8" s="1858"/>
      <c r="SKU8" s="449"/>
      <c r="SKV8" s="449"/>
      <c r="SKW8" s="449"/>
      <c r="SKX8" s="460"/>
      <c r="SKY8" s="460"/>
      <c r="SKZ8" s="460"/>
      <c r="SLA8" s="460"/>
      <c r="SLB8" s="460"/>
      <c r="SLC8" s="460"/>
      <c r="SLD8" s="450"/>
      <c r="SLE8" s="1857"/>
      <c r="SLF8" s="1857"/>
      <c r="SLG8" s="1857"/>
      <c r="SLH8" s="1857"/>
      <c r="SLI8" s="1857"/>
      <c r="SLJ8" s="1857"/>
      <c r="SLK8" s="1857"/>
      <c r="SLL8" s="1857"/>
      <c r="SLM8" s="1857"/>
      <c r="SLN8" s="1857"/>
      <c r="SLO8" s="1857"/>
      <c r="SLP8" s="1857"/>
      <c r="SLQ8" s="1857"/>
      <c r="SLR8" s="454"/>
      <c r="SLS8" s="1858"/>
      <c r="SLT8" s="449"/>
      <c r="SLU8" s="449"/>
      <c r="SLV8" s="449"/>
      <c r="SLW8" s="460"/>
      <c r="SLX8" s="460"/>
      <c r="SLY8" s="460"/>
      <c r="SLZ8" s="460"/>
      <c r="SMA8" s="460"/>
      <c r="SMB8" s="460"/>
      <c r="SMC8" s="450"/>
      <c r="SMD8" s="1857"/>
      <c r="SME8" s="1857"/>
      <c r="SMF8" s="1857"/>
      <c r="SMG8" s="1857"/>
      <c r="SMH8" s="1857"/>
      <c r="SMI8" s="1857"/>
      <c r="SMJ8" s="1857"/>
      <c r="SMK8" s="1857"/>
      <c r="SML8" s="1857"/>
      <c r="SMM8" s="1857"/>
      <c r="SMN8" s="1857"/>
      <c r="SMO8" s="1857"/>
      <c r="SMP8" s="1857"/>
      <c r="SMQ8" s="454"/>
      <c r="SMR8" s="1858"/>
      <c r="SMS8" s="449"/>
      <c r="SMT8" s="449"/>
      <c r="SMU8" s="449"/>
      <c r="SMV8" s="460"/>
      <c r="SMW8" s="460"/>
      <c r="SMX8" s="460"/>
      <c r="SMY8" s="460"/>
      <c r="SMZ8" s="460"/>
      <c r="SNA8" s="460"/>
      <c r="SNB8" s="450"/>
      <c r="SNC8" s="1857"/>
      <c r="SND8" s="1857"/>
      <c r="SNE8" s="1857"/>
      <c r="SNF8" s="1857"/>
      <c r="SNG8" s="1857"/>
      <c r="SNH8" s="1857"/>
      <c r="SNI8" s="1857"/>
      <c r="SNJ8" s="1857"/>
      <c r="SNK8" s="1857"/>
      <c r="SNL8" s="1857"/>
      <c r="SNM8" s="1857"/>
      <c r="SNN8" s="1857"/>
      <c r="SNO8" s="1857"/>
      <c r="SNP8" s="454"/>
      <c r="SNQ8" s="1858"/>
      <c r="SNR8" s="449"/>
      <c r="SNS8" s="449"/>
      <c r="SNT8" s="449"/>
      <c r="SNU8" s="460"/>
      <c r="SNV8" s="460"/>
      <c r="SNW8" s="460"/>
      <c r="SNX8" s="460"/>
      <c r="SNY8" s="460"/>
      <c r="SNZ8" s="460"/>
      <c r="SOA8" s="450"/>
      <c r="SOB8" s="1857"/>
      <c r="SOC8" s="1857"/>
      <c r="SOD8" s="1857"/>
      <c r="SOE8" s="1857"/>
      <c r="SOF8" s="1857"/>
      <c r="SOG8" s="1857"/>
      <c r="SOH8" s="1857"/>
      <c r="SOI8" s="1857"/>
      <c r="SOJ8" s="1857"/>
      <c r="SOK8" s="1857"/>
      <c r="SOL8" s="1857"/>
      <c r="SOM8" s="1857"/>
      <c r="SON8" s="1857"/>
      <c r="SOO8" s="454"/>
      <c r="SOP8" s="1858"/>
      <c r="SOQ8" s="449"/>
      <c r="SOR8" s="449"/>
      <c r="SOS8" s="449"/>
      <c r="SOT8" s="460"/>
      <c r="SOU8" s="460"/>
      <c r="SOV8" s="460"/>
      <c r="SOW8" s="460"/>
      <c r="SOX8" s="460"/>
      <c r="SOY8" s="460"/>
      <c r="SOZ8" s="450"/>
      <c r="SPA8" s="1857"/>
      <c r="SPB8" s="1857"/>
      <c r="SPC8" s="1857"/>
      <c r="SPD8" s="1857"/>
      <c r="SPE8" s="1857"/>
      <c r="SPF8" s="1857"/>
      <c r="SPG8" s="1857"/>
      <c r="SPH8" s="1857"/>
      <c r="SPI8" s="1857"/>
      <c r="SPJ8" s="1857"/>
      <c r="SPK8" s="1857"/>
      <c r="SPL8" s="1857"/>
      <c r="SPM8" s="1857"/>
      <c r="SPN8" s="454"/>
      <c r="SPO8" s="1858"/>
      <c r="SPP8" s="449"/>
      <c r="SPQ8" s="449"/>
      <c r="SPR8" s="449"/>
      <c r="SPS8" s="460"/>
      <c r="SPT8" s="460"/>
      <c r="SPU8" s="460"/>
      <c r="SPV8" s="460"/>
      <c r="SPW8" s="460"/>
      <c r="SPX8" s="460"/>
      <c r="SPY8" s="450"/>
      <c r="SPZ8" s="1857"/>
      <c r="SQA8" s="1857"/>
      <c r="SQB8" s="1857"/>
      <c r="SQC8" s="1857"/>
      <c r="SQD8" s="1857"/>
      <c r="SQE8" s="1857"/>
      <c r="SQF8" s="1857"/>
      <c r="SQG8" s="1857"/>
      <c r="SQH8" s="1857"/>
      <c r="SQI8" s="1857"/>
      <c r="SQJ8" s="1857"/>
      <c r="SQK8" s="1857"/>
      <c r="SQL8" s="1857"/>
      <c r="SQM8" s="454"/>
      <c r="SQN8" s="1858"/>
      <c r="SQO8" s="449"/>
      <c r="SQP8" s="449"/>
      <c r="SQQ8" s="449"/>
      <c r="SQR8" s="460"/>
      <c r="SQS8" s="460"/>
      <c r="SQT8" s="460"/>
      <c r="SQU8" s="460"/>
      <c r="SQV8" s="460"/>
      <c r="SQW8" s="460"/>
      <c r="SQX8" s="450"/>
      <c r="SQY8" s="1857"/>
      <c r="SQZ8" s="1857"/>
      <c r="SRA8" s="1857"/>
      <c r="SRB8" s="1857"/>
      <c r="SRC8" s="1857"/>
      <c r="SRD8" s="1857"/>
      <c r="SRE8" s="1857"/>
      <c r="SRF8" s="1857"/>
      <c r="SRG8" s="1857"/>
      <c r="SRH8" s="1857"/>
      <c r="SRI8" s="1857"/>
      <c r="SRJ8" s="1857"/>
      <c r="SRK8" s="1857"/>
      <c r="SRL8" s="454"/>
      <c r="SRM8" s="1858"/>
      <c r="SRN8" s="449"/>
      <c r="SRO8" s="449"/>
      <c r="SRP8" s="449"/>
      <c r="SRQ8" s="460"/>
      <c r="SRR8" s="460"/>
      <c r="SRS8" s="460"/>
      <c r="SRT8" s="460"/>
      <c r="SRU8" s="460"/>
      <c r="SRV8" s="460"/>
      <c r="SRW8" s="450"/>
      <c r="SRX8" s="1857"/>
      <c r="SRY8" s="1857"/>
      <c r="SRZ8" s="1857"/>
      <c r="SSA8" s="1857"/>
      <c r="SSB8" s="1857"/>
      <c r="SSC8" s="1857"/>
      <c r="SSD8" s="1857"/>
      <c r="SSE8" s="1857"/>
      <c r="SSF8" s="1857"/>
      <c r="SSG8" s="1857"/>
      <c r="SSH8" s="1857"/>
      <c r="SSI8" s="1857"/>
      <c r="SSJ8" s="1857"/>
      <c r="SSK8" s="454"/>
      <c r="SSL8" s="1858"/>
      <c r="SSM8" s="449"/>
      <c r="SSN8" s="449"/>
      <c r="SSO8" s="449"/>
      <c r="SSP8" s="460"/>
      <c r="SSQ8" s="460"/>
      <c r="SSR8" s="460"/>
      <c r="SSS8" s="460"/>
      <c r="SST8" s="460"/>
      <c r="SSU8" s="460"/>
      <c r="SSV8" s="450"/>
      <c r="SSW8" s="1857"/>
      <c r="SSX8" s="1857"/>
      <c r="SSY8" s="1857"/>
      <c r="SSZ8" s="1857"/>
      <c r="STA8" s="1857"/>
      <c r="STB8" s="1857"/>
      <c r="STC8" s="1857"/>
      <c r="STD8" s="1857"/>
      <c r="STE8" s="1857"/>
      <c r="STF8" s="1857"/>
      <c r="STG8" s="1857"/>
      <c r="STH8" s="1857"/>
      <c r="STI8" s="1857"/>
      <c r="STJ8" s="454"/>
      <c r="STK8" s="1858"/>
      <c r="STL8" s="449"/>
      <c r="STM8" s="449"/>
      <c r="STN8" s="449"/>
      <c r="STO8" s="460"/>
      <c r="STP8" s="460"/>
      <c r="STQ8" s="460"/>
      <c r="STR8" s="460"/>
      <c r="STS8" s="460"/>
      <c r="STT8" s="460"/>
      <c r="STU8" s="450"/>
      <c r="STV8" s="1857"/>
      <c r="STW8" s="1857"/>
      <c r="STX8" s="1857"/>
      <c r="STY8" s="1857"/>
      <c r="STZ8" s="1857"/>
      <c r="SUA8" s="1857"/>
      <c r="SUB8" s="1857"/>
      <c r="SUC8" s="1857"/>
      <c r="SUD8" s="1857"/>
      <c r="SUE8" s="1857"/>
      <c r="SUF8" s="1857"/>
      <c r="SUG8" s="1857"/>
      <c r="SUH8" s="1857"/>
      <c r="SUI8" s="454"/>
      <c r="SUJ8" s="1858"/>
      <c r="SUK8" s="449"/>
      <c r="SUL8" s="449"/>
      <c r="SUM8" s="449"/>
      <c r="SUN8" s="460"/>
      <c r="SUO8" s="460"/>
      <c r="SUP8" s="460"/>
      <c r="SUQ8" s="460"/>
      <c r="SUR8" s="460"/>
      <c r="SUS8" s="460"/>
      <c r="SUT8" s="450"/>
      <c r="SUU8" s="1857"/>
      <c r="SUV8" s="1857"/>
      <c r="SUW8" s="1857"/>
      <c r="SUX8" s="1857"/>
      <c r="SUY8" s="1857"/>
      <c r="SUZ8" s="1857"/>
      <c r="SVA8" s="1857"/>
      <c r="SVB8" s="1857"/>
      <c r="SVC8" s="1857"/>
      <c r="SVD8" s="1857"/>
      <c r="SVE8" s="1857"/>
      <c r="SVF8" s="1857"/>
      <c r="SVG8" s="1857"/>
      <c r="SVH8" s="454"/>
      <c r="SVI8" s="1858"/>
      <c r="SVJ8" s="449"/>
      <c r="SVK8" s="449"/>
      <c r="SVL8" s="449"/>
      <c r="SVM8" s="460"/>
      <c r="SVN8" s="460"/>
      <c r="SVO8" s="460"/>
      <c r="SVP8" s="460"/>
      <c r="SVQ8" s="460"/>
      <c r="SVR8" s="460"/>
      <c r="SVS8" s="450"/>
      <c r="SVT8" s="1857"/>
      <c r="SVU8" s="1857"/>
      <c r="SVV8" s="1857"/>
      <c r="SVW8" s="1857"/>
      <c r="SVX8" s="1857"/>
      <c r="SVY8" s="1857"/>
      <c r="SVZ8" s="1857"/>
      <c r="SWA8" s="1857"/>
      <c r="SWB8" s="1857"/>
      <c r="SWC8" s="1857"/>
      <c r="SWD8" s="1857"/>
      <c r="SWE8" s="1857"/>
      <c r="SWF8" s="1857"/>
      <c r="SWG8" s="454"/>
      <c r="SWH8" s="1858"/>
      <c r="SWI8" s="449"/>
      <c r="SWJ8" s="449"/>
      <c r="SWK8" s="449"/>
      <c r="SWL8" s="460"/>
      <c r="SWM8" s="460"/>
      <c r="SWN8" s="460"/>
      <c r="SWO8" s="460"/>
      <c r="SWP8" s="460"/>
      <c r="SWQ8" s="460"/>
      <c r="SWR8" s="450"/>
      <c r="SWS8" s="1857"/>
      <c r="SWT8" s="1857"/>
      <c r="SWU8" s="1857"/>
      <c r="SWV8" s="1857"/>
      <c r="SWW8" s="1857"/>
      <c r="SWX8" s="1857"/>
      <c r="SWY8" s="1857"/>
      <c r="SWZ8" s="1857"/>
      <c r="SXA8" s="1857"/>
      <c r="SXB8" s="1857"/>
      <c r="SXC8" s="1857"/>
      <c r="SXD8" s="1857"/>
      <c r="SXE8" s="1857"/>
      <c r="SXF8" s="454"/>
      <c r="SXG8" s="1858"/>
      <c r="SXH8" s="449"/>
      <c r="SXI8" s="449"/>
      <c r="SXJ8" s="449"/>
      <c r="SXK8" s="460"/>
      <c r="SXL8" s="460"/>
      <c r="SXM8" s="460"/>
      <c r="SXN8" s="460"/>
      <c r="SXO8" s="460"/>
      <c r="SXP8" s="460"/>
      <c r="SXQ8" s="450"/>
      <c r="SXR8" s="1857"/>
      <c r="SXS8" s="1857"/>
      <c r="SXT8" s="1857"/>
      <c r="SXU8" s="1857"/>
      <c r="SXV8" s="1857"/>
      <c r="SXW8" s="1857"/>
      <c r="SXX8" s="1857"/>
      <c r="SXY8" s="1857"/>
      <c r="SXZ8" s="1857"/>
      <c r="SYA8" s="1857"/>
      <c r="SYB8" s="1857"/>
      <c r="SYC8" s="1857"/>
      <c r="SYD8" s="1857"/>
      <c r="SYE8" s="454"/>
      <c r="SYF8" s="1858"/>
      <c r="SYG8" s="449"/>
      <c r="SYH8" s="449"/>
      <c r="SYI8" s="449"/>
      <c r="SYJ8" s="460"/>
      <c r="SYK8" s="460"/>
      <c r="SYL8" s="460"/>
      <c r="SYM8" s="460"/>
      <c r="SYN8" s="460"/>
      <c r="SYO8" s="460"/>
      <c r="SYP8" s="450"/>
      <c r="SYQ8" s="1857"/>
      <c r="SYR8" s="1857"/>
      <c r="SYS8" s="1857"/>
      <c r="SYT8" s="1857"/>
      <c r="SYU8" s="1857"/>
      <c r="SYV8" s="1857"/>
      <c r="SYW8" s="1857"/>
      <c r="SYX8" s="1857"/>
      <c r="SYY8" s="1857"/>
      <c r="SYZ8" s="1857"/>
      <c r="SZA8" s="1857"/>
      <c r="SZB8" s="1857"/>
      <c r="SZC8" s="1857"/>
      <c r="SZD8" s="454"/>
      <c r="SZE8" s="1858"/>
      <c r="SZF8" s="449"/>
      <c r="SZG8" s="449"/>
      <c r="SZH8" s="449"/>
      <c r="SZI8" s="460"/>
      <c r="SZJ8" s="460"/>
      <c r="SZK8" s="460"/>
      <c r="SZL8" s="460"/>
      <c r="SZM8" s="460"/>
      <c r="SZN8" s="460"/>
      <c r="SZO8" s="450"/>
      <c r="SZP8" s="1857"/>
      <c r="SZQ8" s="1857"/>
      <c r="SZR8" s="1857"/>
      <c r="SZS8" s="1857"/>
      <c r="SZT8" s="1857"/>
      <c r="SZU8" s="1857"/>
      <c r="SZV8" s="1857"/>
      <c r="SZW8" s="1857"/>
      <c r="SZX8" s="1857"/>
      <c r="SZY8" s="1857"/>
      <c r="SZZ8" s="1857"/>
      <c r="TAA8" s="1857"/>
      <c r="TAB8" s="1857"/>
      <c r="TAC8" s="454"/>
      <c r="TAD8" s="1858"/>
      <c r="TAE8" s="449"/>
      <c r="TAF8" s="449"/>
      <c r="TAG8" s="449"/>
      <c r="TAH8" s="460"/>
      <c r="TAI8" s="460"/>
      <c r="TAJ8" s="460"/>
      <c r="TAK8" s="460"/>
      <c r="TAL8" s="460"/>
      <c r="TAM8" s="460"/>
      <c r="TAN8" s="450"/>
      <c r="TAO8" s="1857"/>
      <c r="TAP8" s="1857"/>
      <c r="TAQ8" s="1857"/>
      <c r="TAR8" s="1857"/>
      <c r="TAS8" s="1857"/>
      <c r="TAT8" s="1857"/>
      <c r="TAU8" s="1857"/>
      <c r="TAV8" s="1857"/>
      <c r="TAW8" s="1857"/>
      <c r="TAX8" s="1857"/>
      <c r="TAY8" s="1857"/>
      <c r="TAZ8" s="1857"/>
      <c r="TBA8" s="1857"/>
      <c r="TBB8" s="454"/>
      <c r="TBC8" s="1858"/>
      <c r="TBD8" s="449"/>
      <c r="TBE8" s="449"/>
      <c r="TBF8" s="449"/>
      <c r="TBG8" s="460"/>
      <c r="TBH8" s="460"/>
      <c r="TBI8" s="460"/>
      <c r="TBJ8" s="460"/>
      <c r="TBK8" s="460"/>
      <c r="TBL8" s="460"/>
      <c r="TBM8" s="450"/>
      <c r="TBN8" s="1857"/>
      <c r="TBO8" s="1857"/>
      <c r="TBP8" s="1857"/>
      <c r="TBQ8" s="1857"/>
      <c r="TBR8" s="1857"/>
      <c r="TBS8" s="1857"/>
      <c r="TBT8" s="1857"/>
      <c r="TBU8" s="1857"/>
      <c r="TBV8" s="1857"/>
      <c r="TBW8" s="1857"/>
      <c r="TBX8" s="1857"/>
      <c r="TBY8" s="1857"/>
      <c r="TBZ8" s="1857"/>
      <c r="TCA8" s="454"/>
      <c r="TCB8" s="1858"/>
      <c r="TCC8" s="449"/>
      <c r="TCD8" s="449"/>
      <c r="TCE8" s="449"/>
      <c r="TCF8" s="460"/>
      <c r="TCG8" s="460"/>
      <c r="TCH8" s="460"/>
      <c r="TCI8" s="460"/>
      <c r="TCJ8" s="460"/>
      <c r="TCK8" s="460"/>
      <c r="TCL8" s="450"/>
      <c r="TCM8" s="1857"/>
      <c r="TCN8" s="1857"/>
      <c r="TCO8" s="1857"/>
      <c r="TCP8" s="1857"/>
      <c r="TCQ8" s="1857"/>
      <c r="TCR8" s="1857"/>
      <c r="TCS8" s="1857"/>
      <c r="TCT8" s="1857"/>
      <c r="TCU8" s="1857"/>
      <c r="TCV8" s="1857"/>
      <c r="TCW8" s="1857"/>
      <c r="TCX8" s="1857"/>
      <c r="TCY8" s="1857"/>
      <c r="TCZ8" s="454"/>
      <c r="TDA8" s="1858"/>
      <c r="TDB8" s="449"/>
      <c r="TDC8" s="449"/>
      <c r="TDD8" s="449"/>
      <c r="TDE8" s="460"/>
      <c r="TDF8" s="460"/>
      <c r="TDG8" s="460"/>
      <c r="TDH8" s="460"/>
      <c r="TDI8" s="460"/>
      <c r="TDJ8" s="460"/>
      <c r="TDK8" s="450"/>
      <c r="TDL8" s="1857"/>
      <c r="TDM8" s="1857"/>
      <c r="TDN8" s="1857"/>
      <c r="TDO8" s="1857"/>
      <c r="TDP8" s="1857"/>
      <c r="TDQ8" s="1857"/>
      <c r="TDR8" s="1857"/>
      <c r="TDS8" s="1857"/>
      <c r="TDT8" s="1857"/>
      <c r="TDU8" s="1857"/>
      <c r="TDV8" s="1857"/>
      <c r="TDW8" s="1857"/>
      <c r="TDX8" s="1857"/>
      <c r="TDY8" s="454"/>
      <c r="TDZ8" s="1858"/>
      <c r="TEA8" s="449"/>
      <c r="TEB8" s="449"/>
      <c r="TEC8" s="449"/>
      <c r="TED8" s="460"/>
      <c r="TEE8" s="460"/>
      <c r="TEF8" s="460"/>
      <c r="TEG8" s="460"/>
      <c r="TEH8" s="460"/>
      <c r="TEI8" s="460"/>
      <c r="TEJ8" s="450"/>
      <c r="TEK8" s="1857"/>
      <c r="TEL8" s="1857"/>
      <c r="TEM8" s="1857"/>
      <c r="TEN8" s="1857"/>
      <c r="TEO8" s="1857"/>
      <c r="TEP8" s="1857"/>
      <c r="TEQ8" s="1857"/>
      <c r="TER8" s="1857"/>
      <c r="TES8" s="1857"/>
      <c r="TET8" s="1857"/>
      <c r="TEU8" s="1857"/>
      <c r="TEV8" s="1857"/>
      <c r="TEW8" s="1857"/>
      <c r="TEX8" s="454"/>
      <c r="TEY8" s="1858"/>
      <c r="TEZ8" s="449"/>
      <c r="TFA8" s="449"/>
      <c r="TFB8" s="449"/>
      <c r="TFC8" s="460"/>
      <c r="TFD8" s="460"/>
      <c r="TFE8" s="460"/>
      <c r="TFF8" s="460"/>
      <c r="TFG8" s="460"/>
      <c r="TFH8" s="460"/>
      <c r="TFI8" s="450"/>
      <c r="TFJ8" s="1857"/>
      <c r="TFK8" s="1857"/>
      <c r="TFL8" s="1857"/>
      <c r="TFM8" s="1857"/>
      <c r="TFN8" s="1857"/>
      <c r="TFO8" s="1857"/>
      <c r="TFP8" s="1857"/>
      <c r="TFQ8" s="1857"/>
      <c r="TFR8" s="1857"/>
      <c r="TFS8" s="1857"/>
      <c r="TFT8" s="1857"/>
      <c r="TFU8" s="1857"/>
      <c r="TFV8" s="1857"/>
      <c r="TFW8" s="454"/>
      <c r="TFX8" s="1858"/>
      <c r="TFY8" s="449"/>
      <c r="TFZ8" s="449"/>
      <c r="TGA8" s="449"/>
      <c r="TGB8" s="460"/>
      <c r="TGC8" s="460"/>
      <c r="TGD8" s="460"/>
      <c r="TGE8" s="460"/>
      <c r="TGF8" s="460"/>
      <c r="TGG8" s="460"/>
      <c r="TGH8" s="450"/>
      <c r="TGI8" s="1857"/>
      <c r="TGJ8" s="1857"/>
      <c r="TGK8" s="1857"/>
      <c r="TGL8" s="1857"/>
      <c r="TGM8" s="1857"/>
      <c r="TGN8" s="1857"/>
      <c r="TGO8" s="1857"/>
      <c r="TGP8" s="1857"/>
      <c r="TGQ8" s="1857"/>
      <c r="TGR8" s="1857"/>
      <c r="TGS8" s="1857"/>
      <c r="TGT8" s="1857"/>
      <c r="TGU8" s="1857"/>
      <c r="TGV8" s="454"/>
      <c r="TGW8" s="1858"/>
      <c r="TGX8" s="449"/>
      <c r="TGY8" s="449"/>
      <c r="TGZ8" s="449"/>
      <c r="THA8" s="460"/>
      <c r="THB8" s="460"/>
      <c r="THC8" s="460"/>
      <c r="THD8" s="460"/>
      <c r="THE8" s="460"/>
      <c r="THF8" s="460"/>
      <c r="THG8" s="450"/>
      <c r="THH8" s="1857"/>
      <c r="THI8" s="1857"/>
      <c r="THJ8" s="1857"/>
      <c r="THK8" s="1857"/>
      <c r="THL8" s="1857"/>
      <c r="THM8" s="1857"/>
      <c r="THN8" s="1857"/>
      <c r="THO8" s="1857"/>
      <c r="THP8" s="1857"/>
      <c r="THQ8" s="1857"/>
      <c r="THR8" s="1857"/>
      <c r="THS8" s="1857"/>
      <c r="THT8" s="1857"/>
      <c r="THU8" s="454"/>
      <c r="THV8" s="1858"/>
      <c r="THW8" s="449"/>
      <c r="THX8" s="449"/>
      <c r="THY8" s="449"/>
      <c r="THZ8" s="460"/>
      <c r="TIA8" s="460"/>
      <c r="TIB8" s="460"/>
      <c r="TIC8" s="460"/>
      <c r="TID8" s="460"/>
      <c r="TIE8" s="460"/>
      <c r="TIF8" s="450"/>
      <c r="TIG8" s="1857"/>
      <c r="TIH8" s="1857"/>
      <c r="TII8" s="1857"/>
      <c r="TIJ8" s="1857"/>
      <c r="TIK8" s="1857"/>
      <c r="TIL8" s="1857"/>
      <c r="TIM8" s="1857"/>
      <c r="TIN8" s="1857"/>
      <c r="TIO8" s="1857"/>
      <c r="TIP8" s="1857"/>
      <c r="TIQ8" s="1857"/>
      <c r="TIR8" s="1857"/>
      <c r="TIS8" s="1857"/>
      <c r="TIT8" s="454"/>
      <c r="TIU8" s="1858"/>
      <c r="TIV8" s="449"/>
      <c r="TIW8" s="449"/>
      <c r="TIX8" s="449"/>
      <c r="TIY8" s="460"/>
      <c r="TIZ8" s="460"/>
      <c r="TJA8" s="460"/>
      <c r="TJB8" s="460"/>
      <c r="TJC8" s="460"/>
      <c r="TJD8" s="460"/>
      <c r="TJE8" s="450"/>
      <c r="TJF8" s="1857"/>
      <c r="TJG8" s="1857"/>
      <c r="TJH8" s="1857"/>
      <c r="TJI8" s="1857"/>
      <c r="TJJ8" s="1857"/>
      <c r="TJK8" s="1857"/>
      <c r="TJL8" s="1857"/>
      <c r="TJM8" s="1857"/>
      <c r="TJN8" s="1857"/>
      <c r="TJO8" s="1857"/>
      <c r="TJP8" s="1857"/>
      <c r="TJQ8" s="1857"/>
      <c r="TJR8" s="1857"/>
      <c r="TJS8" s="454"/>
      <c r="TJT8" s="1858"/>
      <c r="TJU8" s="449"/>
      <c r="TJV8" s="449"/>
      <c r="TJW8" s="449"/>
      <c r="TJX8" s="460"/>
      <c r="TJY8" s="460"/>
      <c r="TJZ8" s="460"/>
      <c r="TKA8" s="460"/>
      <c r="TKB8" s="460"/>
      <c r="TKC8" s="460"/>
      <c r="TKD8" s="450"/>
      <c r="TKE8" s="1857"/>
      <c r="TKF8" s="1857"/>
      <c r="TKG8" s="1857"/>
      <c r="TKH8" s="1857"/>
      <c r="TKI8" s="1857"/>
      <c r="TKJ8" s="1857"/>
      <c r="TKK8" s="1857"/>
      <c r="TKL8" s="1857"/>
      <c r="TKM8" s="1857"/>
      <c r="TKN8" s="1857"/>
      <c r="TKO8" s="1857"/>
      <c r="TKP8" s="1857"/>
      <c r="TKQ8" s="1857"/>
      <c r="TKR8" s="454"/>
      <c r="TKS8" s="1858"/>
      <c r="TKT8" s="449"/>
      <c r="TKU8" s="449"/>
      <c r="TKV8" s="449"/>
      <c r="TKW8" s="460"/>
      <c r="TKX8" s="460"/>
      <c r="TKY8" s="460"/>
      <c r="TKZ8" s="460"/>
      <c r="TLA8" s="460"/>
      <c r="TLB8" s="460"/>
      <c r="TLC8" s="450"/>
      <c r="TLD8" s="1857"/>
      <c r="TLE8" s="1857"/>
      <c r="TLF8" s="1857"/>
      <c r="TLG8" s="1857"/>
      <c r="TLH8" s="1857"/>
      <c r="TLI8" s="1857"/>
      <c r="TLJ8" s="1857"/>
      <c r="TLK8" s="1857"/>
      <c r="TLL8" s="1857"/>
      <c r="TLM8" s="1857"/>
      <c r="TLN8" s="1857"/>
      <c r="TLO8" s="1857"/>
      <c r="TLP8" s="1857"/>
      <c r="TLQ8" s="454"/>
      <c r="TLR8" s="1858"/>
      <c r="TLS8" s="449"/>
      <c r="TLT8" s="449"/>
      <c r="TLU8" s="449"/>
      <c r="TLV8" s="460"/>
      <c r="TLW8" s="460"/>
      <c r="TLX8" s="460"/>
      <c r="TLY8" s="460"/>
      <c r="TLZ8" s="460"/>
      <c r="TMA8" s="460"/>
      <c r="TMB8" s="450"/>
      <c r="TMC8" s="1857"/>
      <c r="TMD8" s="1857"/>
      <c r="TME8" s="1857"/>
      <c r="TMF8" s="1857"/>
      <c r="TMG8" s="1857"/>
      <c r="TMH8" s="1857"/>
      <c r="TMI8" s="1857"/>
      <c r="TMJ8" s="1857"/>
      <c r="TMK8" s="1857"/>
      <c r="TML8" s="1857"/>
      <c r="TMM8" s="1857"/>
      <c r="TMN8" s="1857"/>
      <c r="TMO8" s="1857"/>
      <c r="TMP8" s="454"/>
      <c r="TMQ8" s="1858"/>
      <c r="TMR8" s="449"/>
      <c r="TMS8" s="449"/>
      <c r="TMT8" s="449"/>
      <c r="TMU8" s="460"/>
      <c r="TMV8" s="460"/>
      <c r="TMW8" s="460"/>
      <c r="TMX8" s="460"/>
      <c r="TMY8" s="460"/>
      <c r="TMZ8" s="460"/>
      <c r="TNA8" s="450"/>
      <c r="TNB8" s="1857"/>
      <c r="TNC8" s="1857"/>
      <c r="TND8" s="1857"/>
      <c r="TNE8" s="1857"/>
      <c r="TNF8" s="1857"/>
      <c r="TNG8" s="1857"/>
      <c r="TNH8" s="1857"/>
      <c r="TNI8" s="1857"/>
      <c r="TNJ8" s="1857"/>
      <c r="TNK8" s="1857"/>
      <c r="TNL8" s="1857"/>
      <c r="TNM8" s="1857"/>
      <c r="TNN8" s="1857"/>
      <c r="TNO8" s="454"/>
      <c r="TNP8" s="1858"/>
      <c r="TNQ8" s="449"/>
      <c r="TNR8" s="449"/>
      <c r="TNS8" s="449"/>
      <c r="TNT8" s="460"/>
      <c r="TNU8" s="460"/>
      <c r="TNV8" s="460"/>
      <c r="TNW8" s="460"/>
      <c r="TNX8" s="460"/>
      <c r="TNY8" s="460"/>
      <c r="TNZ8" s="450"/>
      <c r="TOA8" s="1857"/>
      <c r="TOB8" s="1857"/>
      <c r="TOC8" s="1857"/>
      <c r="TOD8" s="1857"/>
      <c r="TOE8" s="1857"/>
      <c r="TOF8" s="1857"/>
      <c r="TOG8" s="1857"/>
      <c r="TOH8" s="1857"/>
      <c r="TOI8" s="1857"/>
      <c r="TOJ8" s="1857"/>
      <c r="TOK8" s="1857"/>
      <c r="TOL8" s="1857"/>
      <c r="TOM8" s="1857"/>
      <c r="TON8" s="454"/>
      <c r="TOO8" s="1858"/>
      <c r="TOP8" s="449"/>
      <c r="TOQ8" s="449"/>
      <c r="TOR8" s="449"/>
      <c r="TOS8" s="460"/>
      <c r="TOT8" s="460"/>
      <c r="TOU8" s="460"/>
      <c r="TOV8" s="460"/>
      <c r="TOW8" s="460"/>
      <c r="TOX8" s="460"/>
      <c r="TOY8" s="450"/>
      <c r="TOZ8" s="1857"/>
      <c r="TPA8" s="1857"/>
      <c r="TPB8" s="1857"/>
      <c r="TPC8" s="1857"/>
      <c r="TPD8" s="1857"/>
      <c r="TPE8" s="1857"/>
      <c r="TPF8" s="1857"/>
      <c r="TPG8" s="1857"/>
      <c r="TPH8" s="1857"/>
      <c r="TPI8" s="1857"/>
      <c r="TPJ8" s="1857"/>
      <c r="TPK8" s="1857"/>
      <c r="TPL8" s="1857"/>
      <c r="TPM8" s="454"/>
      <c r="TPN8" s="1858"/>
      <c r="TPO8" s="449"/>
      <c r="TPP8" s="449"/>
      <c r="TPQ8" s="449"/>
      <c r="TPR8" s="460"/>
      <c r="TPS8" s="460"/>
      <c r="TPT8" s="460"/>
      <c r="TPU8" s="460"/>
      <c r="TPV8" s="460"/>
      <c r="TPW8" s="460"/>
      <c r="TPX8" s="450"/>
      <c r="TPY8" s="1857"/>
      <c r="TPZ8" s="1857"/>
      <c r="TQA8" s="1857"/>
      <c r="TQB8" s="1857"/>
      <c r="TQC8" s="1857"/>
      <c r="TQD8" s="1857"/>
      <c r="TQE8" s="1857"/>
      <c r="TQF8" s="1857"/>
      <c r="TQG8" s="1857"/>
      <c r="TQH8" s="1857"/>
      <c r="TQI8" s="1857"/>
      <c r="TQJ8" s="1857"/>
      <c r="TQK8" s="1857"/>
      <c r="TQL8" s="454"/>
      <c r="TQM8" s="1858"/>
      <c r="TQN8" s="449"/>
      <c r="TQO8" s="449"/>
      <c r="TQP8" s="449"/>
      <c r="TQQ8" s="460"/>
      <c r="TQR8" s="460"/>
      <c r="TQS8" s="460"/>
      <c r="TQT8" s="460"/>
      <c r="TQU8" s="460"/>
      <c r="TQV8" s="460"/>
      <c r="TQW8" s="450"/>
      <c r="TQX8" s="1857"/>
      <c r="TQY8" s="1857"/>
      <c r="TQZ8" s="1857"/>
      <c r="TRA8" s="1857"/>
      <c r="TRB8" s="1857"/>
      <c r="TRC8" s="1857"/>
      <c r="TRD8" s="1857"/>
      <c r="TRE8" s="1857"/>
      <c r="TRF8" s="1857"/>
      <c r="TRG8" s="1857"/>
      <c r="TRH8" s="1857"/>
      <c r="TRI8" s="1857"/>
      <c r="TRJ8" s="1857"/>
      <c r="TRK8" s="454"/>
      <c r="TRL8" s="1858"/>
      <c r="TRM8" s="449"/>
      <c r="TRN8" s="449"/>
      <c r="TRO8" s="449"/>
      <c r="TRP8" s="460"/>
      <c r="TRQ8" s="460"/>
      <c r="TRR8" s="460"/>
      <c r="TRS8" s="460"/>
      <c r="TRT8" s="460"/>
      <c r="TRU8" s="460"/>
      <c r="TRV8" s="450"/>
      <c r="TRW8" s="1857"/>
      <c r="TRX8" s="1857"/>
      <c r="TRY8" s="1857"/>
      <c r="TRZ8" s="1857"/>
      <c r="TSA8" s="1857"/>
      <c r="TSB8" s="1857"/>
      <c r="TSC8" s="1857"/>
      <c r="TSD8" s="1857"/>
      <c r="TSE8" s="1857"/>
      <c r="TSF8" s="1857"/>
      <c r="TSG8" s="1857"/>
      <c r="TSH8" s="1857"/>
      <c r="TSI8" s="1857"/>
      <c r="TSJ8" s="454"/>
      <c r="TSK8" s="1858"/>
      <c r="TSL8" s="449"/>
      <c r="TSM8" s="449"/>
      <c r="TSN8" s="449"/>
      <c r="TSO8" s="460"/>
      <c r="TSP8" s="460"/>
      <c r="TSQ8" s="460"/>
      <c r="TSR8" s="460"/>
      <c r="TSS8" s="460"/>
      <c r="TST8" s="460"/>
      <c r="TSU8" s="450"/>
      <c r="TSV8" s="1857"/>
      <c r="TSW8" s="1857"/>
      <c r="TSX8" s="1857"/>
      <c r="TSY8" s="1857"/>
      <c r="TSZ8" s="1857"/>
      <c r="TTA8" s="1857"/>
      <c r="TTB8" s="1857"/>
      <c r="TTC8" s="1857"/>
      <c r="TTD8" s="1857"/>
      <c r="TTE8" s="1857"/>
      <c r="TTF8" s="1857"/>
      <c r="TTG8" s="1857"/>
      <c r="TTH8" s="1857"/>
      <c r="TTI8" s="454"/>
      <c r="TTJ8" s="1858"/>
      <c r="TTK8" s="449"/>
      <c r="TTL8" s="449"/>
      <c r="TTM8" s="449"/>
      <c r="TTN8" s="460"/>
      <c r="TTO8" s="460"/>
      <c r="TTP8" s="460"/>
      <c r="TTQ8" s="460"/>
      <c r="TTR8" s="460"/>
      <c r="TTS8" s="460"/>
      <c r="TTT8" s="450"/>
      <c r="TTU8" s="1857"/>
      <c r="TTV8" s="1857"/>
      <c r="TTW8" s="1857"/>
      <c r="TTX8" s="1857"/>
      <c r="TTY8" s="1857"/>
      <c r="TTZ8" s="1857"/>
      <c r="TUA8" s="1857"/>
      <c r="TUB8" s="1857"/>
      <c r="TUC8" s="1857"/>
      <c r="TUD8" s="1857"/>
      <c r="TUE8" s="1857"/>
      <c r="TUF8" s="1857"/>
      <c r="TUG8" s="1857"/>
      <c r="TUH8" s="454"/>
      <c r="TUI8" s="1858"/>
      <c r="TUJ8" s="449"/>
      <c r="TUK8" s="449"/>
      <c r="TUL8" s="449"/>
      <c r="TUM8" s="460"/>
      <c r="TUN8" s="460"/>
      <c r="TUO8" s="460"/>
      <c r="TUP8" s="460"/>
      <c r="TUQ8" s="460"/>
      <c r="TUR8" s="460"/>
      <c r="TUS8" s="450"/>
      <c r="TUT8" s="1857"/>
      <c r="TUU8" s="1857"/>
      <c r="TUV8" s="1857"/>
      <c r="TUW8" s="1857"/>
      <c r="TUX8" s="1857"/>
      <c r="TUY8" s="1857"/>
      <c r="TUZ8" s="1857"/>
      <c r="TVA8" s="1857"/>
      <c r="TVB8" s="1857"/>
      <c r="TVC8" s="1857"/>
      <c r="TVD8" s="1857"/>
      <c r="TVE8" s="1857"/>
      <c r="TVF8" s="1857"/>
      <c r="TVG8" s="454"/>
      <c r="TVH8" s="1858"/>
      <c r="TVI8" s="449"/>
      <c r="TVJ8" s="449"/>
      <c r="TVK8" s="449"/>
      <c r="TVL8" s="460"/>
      <c r="TVM8" s="460"/>
      <c r="TVN8" s="460"/>
      <c r="TVO8" s="460"/>
      <c r="TVP8" s="460"/>
      <c r="TVQ8" s="460"/>
      <c r="TVR8" s="450"/>
      <c r="TVS8" s="1857"/>
      <c r="TVT8" s="1857"/>
      <c r="TVU8" s="1857"/>
      <c r="TVV8" s="1857"/>
      <c r="TVW8" s="1857"/>
      <c r="TVX8" s="1857"/>
      <c r="TVY8" s="1857"/>
      <c r="TVZ8" s="1857"/>
      <c r="TWA8" s="1857"/>
      <c r="TWB8" s="1857"/>
      <c r="TWC8" s="1857"/>
      <c r="TWD8" s="1857"/>
      <c r="TWE8" s="1857"/>
      <c r="TWF8" s="454"/>
      <c r="TWG8" s="1858"/>
      <c r="TWH8" s="449"/>
      <c r="TWI8" s="449"/>
      <c r="TWJ8" s="449"/>
      <c r="TWK8" s="460"/>
      <c r="TWL8" s="460"/>
      <c r="TWM8" s="460"/>
      <c r="TWN8" s="460"/>
      <c r="TWO8" s="460"/>
      <c r="TWP8" s="460"/>
      <c r="TWQ8" s="450"/>
      <c r="TWR8" s="1857"/>
      <c r="TWS8" s="1857"/>
      <c r="TWT8" s="1857"/>
      <c r="TWU8" s="1857"/>
      <c r="TWV8" s="1857"/>
      <c r="TWW8" s="1857"/>
      <c r="TWX8" s="1857"/>
      <c r="TWY8" s="1857"/>
      <c r="TWZ8" s="1857"/>
      <c r="TXA8" s="1857"/>
      <c r="TXB8" s="1857"/>
      <c r="TXC8" s="1857"/>
      <c r="TXD8" s="1857"/>
      <c r="TXE8" s="454"/>
      <c r="TXF8" s="1858"/>
      <c r="TXG8" s="449"/>
      <c r="TXH8" s="449"/>
      <c r="TXI8" s="449"/>
      <c r="TXJ8" s="460"/>
      <c r="TXK8" s="460"/>
      <c r="TXL8" s="460"/>
      <c r="TXM8" s="460"/>
      <c r="TXN8" s="460"/>
      <c r="TXO8" s="460"/>
      <c r="TXP8" s="450"/>
      <c r="TXQ8" s="1857"/>
      <c r="TXR8" s="1857"/>
      <c r="TXS8" s="1857"/>
      <c r="TXT8" s="1857"/>
      <c r="TXU8" s="1857"/>
      <c r="TXV8" s="1857"/>
      <c r="TXW8" s="1857"/>
      <c r="TXX8" s="1857"/>
      <c r="TXY8" s="1857"/>
      <c r="TXZ8" s="1857"/>
      <c r="TYA8" s="1857"/>
      <c r="TYB8" s="1857"/>
      <c r="TYC8" s="1857"/>
      <c r="TYD8" s="454"/>
      <c r="TYE8" s="1858"/>
      <c r="TYF8" s="449"/>
      <c r="TYG8" s="449"/>
      <c r="TYH8" s="449"/>
      <c r="TYI8" s="460"/>
      <c r="TYJ8" s="460"/>
      <c r="TYK8" s="460"/>
      <c r="TYL8" s="460"/>
      <c r="TYM8" s="460"/>
      <c r="TYN8" s="460"/>
      <c r="TYO8" s="450"/>
      <c r="TYP8" s="1857"/>
      <c r="TYQ8" s="1857"/>
      <c r="TYR8" s="1857"/>
      <c r="TYS8" s="1857"/>
      <c r="TYT8" s="1857"/>
      <c r="TYU8" s="1857"/>
      <c r="TYV8" s="1857"/>
      <c r="TYW8" s="1857"/>
      <c r="TYX8" s="1857"/>
      <c r="TYY8" s="1857"/>
      <c r="TYZ8" s="1857"/>
      <c r="TZA8" s="1857"/>
      <c r="TZB8" s="1857"/>
      <c r="TZC8" s="454"/>
      <c r="TZD8" s="1858"/>
      <c r="TZE8" s="449"/>
      <c r="TZF8" s="449"/>
      <c r="TZG8" s="449"/>
      <c r="TZH8" s="460"/>
      <c r="TZI8" s="460"/>
      <c r="TZJ8" s="460"/>
      <c r="TZK8" s="460"/>
      <c r="TZL8" s="460"/>
      <c r="TZM8" s="460"/>
      <c r="TZN8" s="450"/>
      <c r="TZO8" s="1857"/>
      <c r="TZP8" s="1857"/>
      <c r="TZQ8" s="1857"/>
      <c r="TZR8" s="1857"/>
      <c r="TZS8" s="1857"/>
      <c r="TZT8" s="1857"/>
      <c r="TZU8" s="1857"/>
      <c r="TZV8" s="1857"/>
      <c r="TZW8" s="1857"/>
      <c r="TZX8" s="1857"/>
      <c r="TZY8" s="1857"/>
      <c r="TZZ8" s="1857"/>
      <c r="UAA8" s="1857"/>
      <c r="UAB8" s="454"/>
      <c r="UAC8" s="1858"/>
      <c r="UAD8" s="449"/>
      <c r="UAE8" s="449"/>
      <c r="UAF8" s="449"/>
      <c r="UAG8" s="460"/>
      <c r="UAH8" s="460"/>
      <c r="UAI8" s="460"/>
      <c r="UAJ8" s="460"/>
      <c r="UAK8" s="460"/>
      <c r="UAL8" s="460"/>
      <c r="UAM8" s="450"/>
      <c r="UAN8" s="1857"/>
      <c r="UAO8" s="1857"/>
      <c r="UAP8" s="1857"/>
      <c r="UAQ8" s="1857"/>
      <c r="UAR8" s="1857"/>
      <c r="UAS8" s="1857"/>
      <c r="UAT8" s="1857"/>
      <c r="UAU8" s="1857"/>
      <c r="UAV8" s="1857"/>
      <c r="UAW8" s="1857"/>
      <c r="UAX8" s="1857"/>
      <c r="UAY8" s="1857"/>
      <c r="UAZ8" s="1857"/>
      <c r="UBA8" s="454"/>
      <c r="UBB8" s="1858"/>
      <c r="UBC8" s="449"/>
      <c r="UBD8" s="449"/>
      <c r="UBE8" s="449"/>
      <c r="UBF8" s="460"/>
      <c r="UBG8" s="460"/>
      <c r="UBH8" s="460"/>
      <c r="UBI8" s="460"/>
      <c r="UBJ8" s="460"/>
      <c r="UBK8" s="460"/>
      <c r="UBL8" s="450"/>
      <c r="UBM8" s="1857"/>
      <c r="UBN8" s="1857"/>
      <c r="UBO8" s="1857"/>
      <c r="UBP8" s="1857"/>
      <c r="UBQ8" s="1857"/>
      <c r="UBR8" s="1857"/>
      <c r="UBS8" s="1857"/>
      <c r="UBT8" s="1857"/>
      <c r="UBU8" s="1857"/>
      <c r="UBV8" s="1857"/>
      <c r="UBW8" s="1857"/>
      <c r="UBX8" s="1857"/>
      <c r="UBY8" s="1857"/>
      <c r="UBZ8" s="454"/>
      <c r="UCA8" s="1858"/>
      <c r="UCB8" s="449"/>
      <c r="UCC8" s="449"/>
      <c r="UCD8" s="449"/>
      <c r="UCE8" s="460"/>
      <c r="UCF8" s="460"/>
      <c r="UCG8" s="460"/>
      <c r="UCH8" s="460"/>
      <c r="UCI8" s="460"/>
      <c r="UCJ8" s="460"/>
      <c r="UCK8" s="450"/>
      <c r="UCL8" s="1857"/>
      <c r="UCM8" s="1857"/>
      <c r="UCN8" s="1857"/>
      <c r="UCO8" s="1857"/>
      <c r="UCP8" s="1857"/>
      <c r="UCQ8" s="1857"/>
      <c r="UCR8" s="1857"/>
      <c r="UCS8" s="1857"/>
      <c r="UCT8" s="1857"/>
      <c r="UCU8" s="1857"/>
      <c r="UCV8" s="1857"/>
      <c r="UCW8" s="1857"/>
      <c r="UCX8" s="1857"/>
      <c r="UCY8" s="454"/>
      <c r="UCZ8" s="1858"/>
      <c r="UDA8" s="449"/>
      <c r="UDB8" s="449"/>
      <c r="UDC8" s="449"/>
      <c r="UDD8" s="460"/>
      <c r="UDE8" s="460"/>
      <c r="UDF8" s="460"/>
      <c r="UDG8" s="460"/>
      <c r="UDH8" s="460"/>
      <c r="UDI8" s="460"/>
      <c r="UDJ8" s="450"/>
      <c r="UDK8" s="1857"/>
      <c r="UDL8" s="1857"/>
      <c r="UDM8" s="1857"/>
      <c r="UDN8" s="1857"/>
      <c r="UDO8" s="1857"/>
      <c r="UDP8" s="1857"/>
      <c r="UDQ8" s="1857"/>
      <c r="UDR8" s="1857"/>
      <c r="UDS8" s="1857"/>
      <c r="UDT8" s="1857"/>
      <c r="UDU8" s="1857"/>
      <c r="UDV8" s="1857"/>
      <c r="UDW8" s="1857"/>
      <c r="UDX8" s="454"/>
      <c r="UDY8" s="1858"/>
      <c r="UDZ8" s="449"/>
      <c r="UEA8" s="449"/>
      <c r="UEB8" s="449"/>
      <c r="UEC8" s="460"/>
      <c r="UED8" s="460"/>
      <c r="UEE8" s="460"/>
      <c r="UEF8" s="460"/>
      <c r="UEG8" s="460"/>
      <c r="UEH8" s="460"/>
      <c r="UEI8" s="450"/>
      <c r="UEJ8" s="1857"/>
      <c r="UEK8" s="1857"/>
      <c r="UEL8" s="1857"/>
      <c r="UEM8" s="1857"/>
      <c r="UEN8" s="1857"/>
      <c r="UEO8" s="1857"/>
      <c r="UEP8" s="1857"/>
      <c r="UEQ8" s="1857"/>
      <c r="UER8" s="1857"/>
      <c r="UES8" s="1857"/>
      <c r="UET8" s="1857"/>
      <c r="UEU8" s="1857"/>
      <c r="UEV8" s="1857"/>
      <c r="UEW8" s="454"/>
      <c r="UEX8" s="1858"/>
      <c r="UEY8" s="449"/>
      <c r="UEZ8" s="449"/>
      <c r="UFA8" s="449"/>
      <c r="UFB8" s="460"/>
      <c r="UFC8" s="460"/>
      <c r="UFD8" s="460"/>
      <c r="UFE8" s="460"/>
      <c r="UFF8" s="460"/>
      <c r="UFG8" s="460"/>
      <c r="UFH8" s="450"/>
      <c r="UFI8" s="1857"/>
      <c r="UFJ8" s="1857"/>
      <c r="UFK8" s="1857"/>
      <c r="UFL8" s="1857"/>
      <c r="UFM8" s="1857"/>
      <c r="UFN8" s="1857"/>
      <c r="UFO8" s="1857"/>
      <c r="UFP8" s="1857"/>
      <c r="UFQ8" s="1857"/>
      <c r="UFR8" s="1857"/>
      <c r="UFS8" s="1857"/>
      <c r="UFT8" s="1857"/>
      <c r="UFU8" s="1857"/>
      <c r="UFV8" s="454"/>
      <c r="UFW8" s="1858"/>
      <c r="UFX8" s="449"/>
      <c r="UFY8" s="449"/>
      <c r="UFZ8" s="449"/>
      <c r="UGA8" s="460"/>
      <c r="UGB8" s="460"/>
      <c r="UGC8" s="460"/>
      <c r="UGD8" s="460"/>
      <c r="UGE8" s="460"/>
      <c r="UGF8" s="460"/>
      <c r="UGG8" s="450"/>
      <c r="UGH8" s="1857"/>
      <c r="UGI8" s="1857"/>
      <c r="UGJ8" s="1857"/>
      <c r="UGK8" s="1857"/>
      <c r="UGL8" s="1857"/>
      <c r="UGM8" s="1857"/>
      <c r="UGN8" s="1857"/>
      <c r="UGO8" s="1857"/>
      <c r="UGP8" s="1857"/>
      <c r="UGQ8" s="1857"/>
      <c r="UGR8" s="1857"/>
      <c r="UGS8" s="1857"/>
      <c r="UGT8" s="1857"/>
      <c r="UGU8" s="454"/>
      <c r="UGV8" s="1858"/>
      <c r="UGW8" s="449"/>
      <c r="UGX8" s="449"/>
      <c r="UGY8" s="449"/>
      <c r="UGZ8" s="460"/>
      <c r="UHA8" s="460"/>
      <c r="UHB8" s="460"/>
      <c r="UHC8" s="460"/>
      <c r="UHD8" s="460"/>
      <c r="UHE8" s="460"/>
      <c r="UHF8" s="450"/>
      <c r="UHG8" s="1857"/>
      <c r="UHH8" s="1857"/>
      <c r="UHI8" s="1857"/>
      <c r="UHJ8" s="1857"/>
      <c r="UHK8" s="1857"/>
      <c r="UHL8" s="1857"/>
      <c r="UHM8" s="1857"/>
      <c r="UHN8" s="1857"/>
      <c r="UHO8" s="1857"/>
      <c r="UHP8" s="1857"/>
      <c r="UHQ8" s="1857"/>
      <c r="UHR8" s="1857"/>
      <c r="UHS8" s="1857"/>
      <c r="UHT8" s="454"/>
      <c r="UHU8" s="1858"/>
      <c r="UHV8" s="449"/>
      <c r="UHW8" s="449"/>
      <c r="UHX8" s="449"/>
      <c r="UHY8" s="460"/>
      <c r="UHZ8" s="460"/>
      <c r="UIA8" s="460"/>
      <c r="UIB8" s="460"/>
      <c r="UIC8" s="460"/>
      <c r="UID8" s="460"/>
      <c r="UIE8" s="450"/>
      <c r="UIF8" s="1857"/>
      <c r="UIG8" s="1857"/>
      <c r="UIH8" s="1857"/>
      <c r="UII8" s="1857"/>
      <c r="UIJ8" s="1857"/>
      <c r="UIK8" s="1857"/>
      <c r="UIL8" s="1857"/>
      <c r="UIM8" s="1857"/>
      <c r="UIN8" s="1857"/>
      <c r="UIO8" s="1857"/>
      <c r="UIP8" s="1857"/>
      <c r="UIQ8" s="1857"/>
      <c r="UIR8" s="1857"/>
      <c r="UIS8" s="454"/>
      <c r="UIT8" s="1858"/>
      <c r="UIU8" s="449"/>
      <c r="UIV8" s="449"/>
      <c r="UIW8" s="449"/>
      <c r="UIX8" s="460"/>
      <c r="UIY8" s="460"/>
      <c r="UIZ8" s="460"/>
      <c r="UJA8" s="460"/>
      <c r="UJB8" s="460"/>
      <c r="UJC8" s="460"/>
      <c r="UJD8" s="450"/>
      <c r="UJE8" s="1857"/>
      <c r="UJF8" s="1857"/>
      <c r="UJG8" s="1857"/>
      <c r="UJH8" s="1857"/>
      <c r="UJI8" s="1857"/>
      <c r="UJJ8" s="1857"/>
      <c r="UJK8" s="1857"/>
      <c r="UJL8" s="1857"/>
      <c r="UJM8" s="1857"/>
      <c r="UJN8" s="1857"/>
      <c r="UJO8" s="1857"/>
      <c r="UJP8" s="1857"/>
      <c r="UJQ8" s="1857"/>
      <c r="UJR8" s="454"/>
      <c r="UJS8" s="1858"/>
      <c r="UJT8" s="449"/>
      <c r="UJU8" s="449"/>
      <c r="UJV8" s="449"/>
      <c r="UJW8" s="460"/>
      <c r="UJX8" s="460"/>
      <c r="UJY8" s="460"/>
      <c r="UJZ8" s="460"/>
      <c r="UKA8" s="460"/>
      <c r="UKB8" s="460"/>
      <c r="UKC8" s="450"/>
      <c r="UKD8" s="1857"/>
      <c r="UKE8" s="1857"/>
      <c r="UKF8" s="1857"/>
      <c r="UKG8" s="1857"/>
      <c r="UKH8" s="1857"/>
      <c r="UKI8" s="1857"/>
      <c r="UKJ8" s="1857"/>
      <c r="UKK8" s="1857"/>
      <c r="UKL8" s="1857"/>
      <c r="UKM8" s="1857"/>
      <c r="UKN8" s="1857"/>
      <c r="UKO8" s="1857"/>
      <c r="UKP8" s="1857"/>
      <c r="UKQ8" s="454"/>
      <c r="UKR8" s="1858"/>
      <c r="UKS8" s="449"/>
      <c r="UKT8" s="449"/>
      <c r="UKU8" s="449"/>
      <c r="UKV8" s="460"/>
      <c r="UKW8" s="460"/>
      <c r="UKX8" s="460"/>
      <c r="UKY8" s="460"/>
      <c r="UKZ8" s="460"/>
      <c r="ULA8" s="460"/>
      <c r="ULB8" s="450"/>
      <c r="ULC8" s="1857"/>
      <c r="ULD8" s="1857"/>
      <c r="ULE8" s="1857"/>
      <c r="ULF8" s="1857"/>
      <c r="ULG8" s="1857"/>
      <c r="ULH8" s="1857"/>
      <c r="ULI8" s="1857"/>
      <c r="ULJ8" s="1857"/>
      <c r="ULK8" s="1857"/>
      <c r="ULL8" s="1857"/>
      <c r="ULM8" s="1857"/>
      <c r="ULN8" s="1857"/>
      <c r="ULO8" s="1857"/>
      <c r="ULP8" s="454"/>
      <c r="ULQ8" s="1858"/>
      <c r="ULR8" s="449"/>
      <c r="ULS8" s="449"/>
      <c r="ULT8" s="449"/>
      <c r="ULU8" s="460"/>
      <c r="ULV8" s="460"/>
      <c r="ULW8" s="460"/>
      <c r="ULX8" s="460"/>
      <c r="ULY8" s="460"/>
      <c r="ULZ8" s="460"/>
      <c r="UMA8" s="450"/>
      <c r="UMB8" s="1857"/>
      <c r="UMC8" s="1857"/>
      <c r="UMD8" s="1857"/>
      <c r="UME8" s="1857"/>
      <c r="UMF8" s="1857"/>
      <c r="UMG8" s="1857"/>
      <c r="UMH8" s="1857"/>
      <c r="UMI8" s="1857"/>
      <c r="UMJ8" s="1857"/>
      <c r="UMK8" s="1857"/>
      <c r="UML8" s="1857"/>
      <c r="UMM8" s="1857"/>
      <c r="UMN8" s="1857"/>
      <c r="UMO8" s="454"/>
      <c r="UMP8" s="1858"/>
      <c r="UMQ8" s="449"/>
      <c r="UMR8" s="449"/>
      <c r="UMS8" s="449"/>
      <c r="UMT8" s="460"/>
      <c r="UMU8" s="460"/>
      <c r="UMV8" s="460"/>
      <c r="UMW8" s="460"/>
      <c r="UMX8" s="460"/>
      <c r="UMY8" s="460"/>
      <c r="UMZ8" s="450"/>
      <c r="UNA8" s="1857"/>
      <c r="UNB8" s="1857"/>
      <c r="UNC8" s="1857"/>
      <c r="UND8" s="1857"/>
      <c r="UNE8" s="1857"/>
      <c r="UNF8" s="1857"/>
      <c r="UNG8" s="1857"/>
      <c r="UNH8" s="1857"/>
      <c r="UNI8" s="1857"/>
      <c r="UNJ8" s="1857"/>
      <c r="UNK8" s="1857"/>
      <c r="UNL8" s="1857"/>
      <c r="UNM8" s="1857"/>
      <c r="UNN8" s="454"/>
      <c r="UNO8" s="1858"/>
      <c r="UNP8" s="449"/>
      <c r="UNQ8" s="449"/>
      <c r="UNR8" s="449"/>
      <c r="UNS8" s="460"/>
      <c r="UNT8" s="460"/>
      <c r="UNU8" s="460"/>
      <c r="UNV8" s="460"/>
      <c r="UNW8" s="460"/>
      <c r="UNX8" s="460"/>
      <c r="UNY8" s="450"/>
      <c r="UNZ8" s="1857"/>
      <c r="UOA8" s="1857"/>
      <c r="UOB8" s="1857"/>
      <c r="UOC8" s="1857"/>
      <c r="UOD8" s="1857"/>
      <c r="UOE8" s="1857"/>
      <c r="UOF8" s="1857"/>
      <c r="UOG8" s="1857"/>
      <c r="UOH8" s="1857"/>
      <c r="UOI8" s="1857"/>
      <c r="UOJ8" s="1857"/>
      <c r="UOK8" s="1857"/>
      <c r="UOL8" s="1857"/>
      <c r="UOM8" s="454"/>
      <c r="UON8" s="1858"/>
      <c r="UOO8" s="449"/>
      <c r="UOP8" s="449"/>
      <c r="UOQ8" s="449"/>
      <c r="UOR8" s="460"/>
      <c r="UOS8" s="460"/>
      <c r="UOT8" s="460"/>
      <c r="UOU8" s="460"/>
      <c r="UOV8" s="460"/>
      <c r="UOW8" s="460"/>
      <c r="UOX8" s="450"/>
      <c r="UOY8" s="1857"/>
      <c r="UOZ8" s="1857"/>
      <c r="UPA8" s="1857"/>
      <c r="UPB8" s="1857"/>
      <c r="UPC8" s="1857"/>
      <c r="UPD8" s="1857"/>
      <c r="UPE8" s="1857"/>
      <c r="UPF8" s="1857"/>
      <c r="UPG8" s="1857"/>
      <c r="UPH8" s="1857"/>
      <c r="UPI8" s="1857"/>
      <c r="UPJ8" s="1857"/>
      <c r="UPK8" s="1857"/>
      <c r="UPL8" s="454"/>
      <c r="UPM8" s="1858"/>
      <c r="UPN8" s="449"/>
      <c r="UPO8" s="449"/>
      <c r="UPP8" s="449"/>
      <c r="UPQ8" s="460"/>
      <c r="UPR8" s="460"/>
      <c r="UPS8" s="460"/>
      <c r="UPT8" s="460"/>
      <c r="UPU8" s="460"/>
      <c r="UPV8" s="460"/>
      <c r="UPW8" s="450"/>
      <c r="UPX8" s="1857"/>
      <c r="UPY8" s="1857"/>
      <c r="UPZ8" s="1857"/>
      <c r="UQA8" s="1857"/>
      <c r="UQB8" s="1857"/>
      <c r="UQC8" s="1857"/>
      <c r="UQD8" s="1857"/>
      <c r="UQE8" s="1857"/>
      <c r="UQF8" s="1857"/>
      <c r="UQG8" s="1857"/>
      <c r="UQH8" s="1857"/>
      <c r="UQI8" s="1857"/>
      <c r="UQJ8" s="1857"/>
      <c r="UQK8" s="454"/>
      <c r="UQL8" s="1858"/>
      <c r="UQM8" s="449"/>
      <c r="UQN8" s="449"/>
      <c r="UQO8" s="449"/>
      <c r="UQP8" s="460"/>
      <c r="UQQ8" s="460"/>
      <c r="UQR8" s="460"/>
      <c r="UQS8" s="460"/>
      <c r="UQT8" s="460"/>
      <c r="UQU8" s="460"/>
      <c r="UQV8" s="450"/>
      <c r="UQW8" s="1857"/>
      <c r="UQX8" s="1857"/>
      <c r="UQY8" s="1857"/>
      <c r="UQZ8" s="1857"/>
      <c r="URA8" s="1857"/>
      <c r="URB8" s="1857"/>
      <c r="URC8" s="1857"/>
      <c r="URD8" s="1857"/>
      <c r="URE8" s="1857"/>
      <c r="URF8" s="1857"/>
      <c r="URG8" s="1857"/>
      <c r="URH8" s="1857"/>
      <c r="URI8" s="1857"/>
      <c r="URJ8" s="454"/>
      <c r="URK8" s="1858"/>
      <c r="URL8" s="449"/>
      <c r="URM8" s="449"/>
      <c r="URN8" s="449"/>
      <c r="URO8" s="460"/>
      <c r="URP8" s="460"/>
      <c r="URQ8" s="460"/>
      <c r="URR8" s="460"/>
      <c r="URS8" s="460"/>
      <c r="URT8" s="460"/>
      <c r="URU8" s="450"/>
      <c r="URV8" s="1857"/>
      <c r="URW8" s="1857"/>
      <c r="URX8" s="1857"/>
      <c r="URY8" s="1857"/>
      <c r="URZ8" s="1857"/>
      <c r="USA8" s="1857"/>
      <c r="USB8" s="1857"/>
      <c r="USC8" s="1857"/>
      <c r="USD8" s="1857"/>
      <c r="USE8" s="1857"/>
      <c r="USF8" s="1857"/>
      <c r="USG8" s="1857"/>
      <c r="USH8" s="1857"/>
      <c r="USI8" s="454"/>
      <c r="USJ8" s="1858"/>
      <c r="USK8" s="449"/>
      <c r="USL8" s="449"/>
      <c r="USM8" s="449"/>
      <c r="USN8" s="460"/>
      <c r="USO8" s="460"/>
      <c r="USP8" s="460"/>
      <c r="USQ8" s="460"/>
      <c r="USR8" s="460"/>
      <c r="USS8" s="460"/>
      <c r="UST8" s="450"/>
      <c r="USU8" s="1857"/>
      <c r="USV8" s="1857"/>
      <c r="USW8" s="1857"/>
      <c r="USX8" s="1857"/>
      <c r="USY8" s="1857"/>
      <c r="USZ8" s="1857"/>
      <c r="UTA8" s="1857"/>
      <c r="UTB8" s="1857"/>
      <c r="UTC8" s="1857"/>
      <c r="UTD8" s="1857"/>
      <c r="UTE8" s="1857"/>
      <c r="UTF8" s="1857"/>
      <c r="UTG8" s="1857"/>
      <c r="UTH8" s="454"/>
      <c r="UTI8" s="1858"/>
      <c r="UTJ8" s="449"/>
      <c r="UTK8" s="449"/>
      <c r="UTL8" s="449"/>
      <c r="UTM8" s="460"/>
      <c r="UTN8" s="460"/>
      <c r="UTO8" s="460"/>
      <c r="UTP8" s="460"/>
      <c r="UTQ8" s="460"/>
      <c r="UTR8" s="460"/>
      <c r="UTS8" s="450"/>
      <c r="UTT8" s="1857"/>
      <c r="UTU8" s="1857"/>
      <c r="UTV8" s="1857"/>
      <c r="UTW8" s="1857"/>
      <c r="UTX8" s="1857"/>
      <c r="UTY8" s="1857"/>
      <c r="UTZ8" s="1857"/>
      <c r="UUA8" s="1857"/>
      <c r="UUB8" s="1857"/>
      <c r="UUC8" s="1857"/>
      <c r="UUD8" s="1857"/>
      <c r="UUE8" s="1857"/>
      <c r="UUF8" s="1857"/>
      <c r="UUG8" s="454"/>
      <c r="UUH8" s="1858"/>
      <c r="UUI8" s="449"/>
      <c r="UUJ8" s="449"/>
      <c r="UUK8" s="449"/>
      <c r="UUL8" s="460"/>
      <c r="UUM8" s="460"/>
      <c r="UUN8" s="460"/>
      <c r="UUO8" s="460"/>
      <c r="UUP8" s="460"/>
      <c r="UUQ8" s="460"/>
      <c r="UUR8" s="450"/>
      <c r="UUS8" s="1857"/>
      <c r="UUT8" s="1857"/>
      <c r="UUU8" s="1857"/>
      <c r="UUV8" s="1857"/>
      <c r="UUW8" s="1857"/>
      <c r="UUX8" s="1857"/>
      <c r="UUY8" s="1857"/>
      <c r="UUZ8" s="1857"/>
      <c r="UVA8" s="1857"/>
      <c r="UVB8" s="1857"/>
      <c r="UVC8" s="1857"/>
      <c r="UVD8" s="1857"/>
      <c r="UVE8" s="1857"/>
      <c r="UVF8" s="454"/>
      <c r="UVG8" s="1858"/>
      <c r="UVH8" s="449"/>
      <c r="UVI8" s="449"/>
      <c r="UVJ8" s="449"/>
      <c r="UVK8" s="460"/>
      <c r="UVL8" s="460"/>
      <c r="UVM8" s="460"/>
      <c r="UVN8" s="460"/>
      <c r="UVO8" s="460"/>
      <c r="UVP8" s="460"/>
      <c r="UVQ8" s="450"/>
      <c r="UVR8" s="1857"/>
      <c r="UVS8" s="1857"/>
      <c r="UVT8" s="1857"/>
      <c r="UVU8" s="1857"/>
      <c r="UVV8" s="1857"/>
      <c r="UVW8" s="1857"/>
      <c r="UVX8" s="1857"/>
      <c r="UVY8" s="1857"/>
      <c r="UVZ8" s="1857"/>
      <c r="UWA8" s="1857"/>
      <c r="UWB8" s="1857"/>
      <c r="UWC8" s="1857"/>
      <c r="UWD8" s="1857"/>
      <c r="UWE8" s="454"/>
      <c r="UWF8" s="1858"/>
      <c r="UWG8" s="449"/>
      <c r="UWH8" s="449"/>
      <c r="UWI8" s="449"/>
      <c r="UWJ8" s="460"/>
      <c r="UWK8" s="460"/>
      <c r="UWL8" s="460"/>
      <c r="UWM8" s="460"/>
      <c r="UWN8" s="460"/>
      <c r="UWO8" s="460"/>
      <c r="UWP8" s="450"/>
      <c r="UWQ8" s="1857"/>
      <c r="UWR8" s="1857"/>
      <c r="UWS8" s="1857"/>
      <c r="UWT8" s="1857"/>
      <c r="UWU8" s="1857"/>
      <c r="UWV8" s="1857"/>
      <c r="UWW8" s="1857"/>
      <c r="UWX8" s="1857"/>
      <c r="UWY8" s="1857"/>
      <c r="UWZ8" s="1857"/>
      <c r="UXA8" s="1857"/>
      <c r="UXB8" s="1857"/>
      <c r="UXC8" s="1857"/>
      <c r="UXD8" s="454"/>
      <c r="UXE8" s="1858"/>
      <c r="UXF8" s="449"/>
      <c r="UXG8" s="449"/>
      <c r="UXH8" s="449"/>
      <c r="UXI8" s="460"/>
      <c r="UXJ8" s="460"/>
      <c r="UXK8" s="460"/>
      <c r="UXL8" s="460"/>
      <c r="UXM8" s="460"/>
      <c r="UXN8" s="460"/>
      <c r="UXO8" s="450"/>
      <c r="UXP8" s="1857"/>
      <c r="UXQ8" s="1857"/>
      <c r="UXR8" s="1857"/>
      <c r="UXS8" s="1857"/>
      <c r="UXT8" s="1857"/>
      <c r="UXU8" s="1857"/>
      <c r="UXV8" s="1857"/>
      <c r="UXW8" s="1857"/>
      <c r="UXX8" s="1857"/>
      <c r="UXY8" s="1857"/>
      <c r="UXZ8" s="1857"/>
      <c r="UYA8" s="1857"/>
      <c r="UYB8" s="1857"/>
      <c r="UYC8" s="454"/>
      <c r="UYD8" s="1858"/>
      <c r="UYE8" s="449"/>
      <c r="UYF8" s="449"/>
      <c r="UYG8" s="449"/>
      <c r="UYH8" s="460"/>
      <c r="UYI8" s="460"/>
      <c r="UYJ8" s="460"/>
      <c r="UYK8" s="460"/>
      <c r="UYL8" s="460"/>
      <c r="UYM8" s="460"/>
      <c r="UYN8" s="450"/>
      <c r="UYO8" s="1857"/>
      <c r="UYP8" s="1857"/>
      <c r="UYQ8" s="1857"/>
      <c r="UYR8" s="1857"/>
      <c r="UYS8" s="1857"/>
      <c r="UYT8" s="1857"/>
      <c r="UYU8" s="1857"/>
      <c r="UYV8" s="1857"/>
      <c r="UYW8" s="1857"/>
      <c r="UYX8" s="1857"/>
      <c r="UYY8" s="1857"/>
      <c r="UYZ8" s="1857"/>
      <c r="UZA8" s="1857"/>
      <c r="UZB8" s="454"/>
      <c r="UZC8" s="1858"/>
      <c r="UZD8" s="449"/>
      <c r="UZE8" s="449"/>
      <c r="UZF8" s="449"/>
      <c r="UZG8" s="460"/>
      <c r="UZH8" s="460"/>
      <c r="UZI8" s="460"/>
      <c r="UZJ8" s="460"/>
      <c r="UZK8" s="460"/>
      <c r="UZL8" s="460"/>
      <c r="UZM8" s="450"/>
      <c r="UZN8" s="1857"/>
      <c r="UZO8" s="1857"/>
      <c r="UZP8" s="1857"/>
      <c r="UZQ8" s="1857"/>
      <c r="UZR8" s="1857"/>
      <c r="UZS8" s="1857"/>
      <c r="UZT8" s="1857"/>
      <c r="UZU8" s="1857"/>
      <c r="UZV8" s="1857"/>
      <c r="UZW8" s="1857"/>
      <c r="UZX8" s="1857"/>
      <c r="UZY8" s="1857"/>
      <c r="UZZ8" s="1857"/>
      <c r="VAA8" s="454"/>
      <c r="VAB8" s="1858"/>
      <c r="VAC8" s="449"/>
      <c r="VAD8" s="449"/>
      <c r="VAE8" s="449"/>
      <c r="VAF8" s="460"/>
      <c r="VAG8" s="460"/>
      <c r="VAH8" s="460"/>
      <c r="VAI8" s="460"/>
      <c r="VAJ8" s="460"/>
      <c r="VAK8" s="460"/>
      <c r="VAL8" s="450"/>
      <c r="VAM8" s="1857"/>
      <c r="VAN8" s="1857"/>
      <c r="VAO8" s="1857"/>
      <c r="VAP8" s="1857"/>
      <c r="VAQ8" s="1857"/>
      <c r="VAR8" s="1857"/>
      <c r="VAS8" s="1857"/>
      <c r="VAT8" s="1857"/>
      <c r="VAU8" s="1857"/>
      <c r="VAV8" s="1857"/>
      <c r="VAW8" s="1857"/>
      <c r="VAX8" s="1857"/>
      <c r="VAY8" s="1857"/>
      <c r="VAZ8" s="454"/>
      <c r="VBA8" s="1858"/>
      <c r="VBB8" s="449"/>
      <c r="VBC8" s="449"/>
      <c r="VBD8" s="449"/>
      <c r="VBE8" s="460"/>
      <c r="VBF8" s="460"/>
      <c r="VBG8" s="460"/>
      <c r="VBH8" s="460"/>
      <c r="VBI8" s="460"/>
      <c r="VBJ8" s="460"/>
      <c r="VBK8" s="450"/>
      <c r="VBL8" s="1857"/>
      <c r="VBM8" s="1857"/>
      <c r="VBN8" s="1857"/>
      <c r="VBO8" s="1857"/>
      <c r="VBP8" s="1857"/>
      <c r="VBQ8" s="1857"/>
      <c r="VBR8" s="1857"/>
      <c r="VBS8" s="1857"/>
      <c r="VBT8" s="1857"/>
      <c r="VBU8" s="1857"/>
      <c r="VBV8" s="1857"/>
      <c r="VBW8" s="1857"/>
      <c r="VBX8" s="1857"/>
      <c r="VBY8" s="454"/>
      <c r="VBZ8" s="1858"/>
      <c r="VCA8" s="449"/>
      <c r="VCB8" s="449"/>
      <c r="VCC8" s="449"/>
      <c r="VCD8" s="460"/>
      <c r="VCE8" s="460"/>
      <c r="VCF8" s="460"/>
      <c r="VCG8" s="460"/>
      <c r="VCH8" s="460"/>
      <c r="VCI8" s="460"/>
      <c r="VCJ8" s="450"/>
      <c r="VCK8" s="1857"/>
      <c r="VCL8" s="1857"/>
      <c r="VCM8" s="1857"/>
      <c r="VCN8" s="1857"/>
      <c r="VCO8" s="1857"/>
      <c r="VCP8" s="1857"/>
      <c r="VCQ8" s="1857"/>
      <c r="VCR8" s="1857"/>
      <c r="VCS8" s="1857"/>
      <c r="VCT8" s="1857"/>
      <c r="VCU8" s="1857"/>
      <c r="VCV8" s="1857"/>
      <c r="VCW8" s="1857"/>
      <c r="VCX8" s="454"/>
      <c r="VCY8" s="1858"/>
      <c r="VCZ8" s="449"/>
      <c r="VDA8" s="449"/>
      <c r="VDB8" s="449"/>
      <c r="VDC8" s="460"/>
      <c r="VDD8" s="460"/>
      <c r="VDE8" s="460"/>
      <c r="VDF8" s="460"/>
      <c r="VDG8" s="460"/>
      <c r="VDH8" s="460"/>
      <c r="VDI8" s="450"/>
      <c r="VDJ8" s="1857"/>
      <c r="VDK8" s="1857"/>
      <c r="VDL8" s="1857"/>
      <c r="VDM8" s="1857"/>
      <c r="VDN8" s="1857"/>
      <c r="VDO8" s="1857"/>
      <c r="VDP8" s="1857"/>
      <c r="VDQ8" s="1857"/>
      <c r="VDR8" s="1857"/>
      <c r="VDS8" s="1857"/>
      <c r="VDT8" s="1857"/>
      <c r="VDU8" s="1857"/>
      <c r="VDV8" s="1857"/>
      <c r="VDW8" s="454"/>
      <c r="VDX8" s="1858"/>
      <c r="VDY8" s="449"/>
      <c r="VDZ8" s="449"/>
      <c r="VEA8" s="449"/>
      <c r="VEB8" s="460"/>
      <c r="VEC8" s="460"/>
      <c r="VED8" s="460"/>
      <c r="VEE8" s="460"/>
      <c r="VEF8" s="460"/>
      <c r="VEG8" s="460"/>
      <c r="VEH8" s="450"/>
      <c r="VEI8" s="1857"/>
      <c r="VEJ8" s="1857"/>
      <c r="VEK8" s="1857"/>
      <c r="VEL8" s="1857"/>
      <c r="VEM8" s="1857"/>
      <c r="VEN8" s="1857"/>
      <c r="VEO8" s="1857"/>
      <c r="VEP8" s="1857"/>
      <c r="VEQ8" s="1857"/>
      <c r="VER8" s="1857"/>
      <c r="VES8" s="1857"/>
      <c r="VET8" s="1857"/>
      <c r="VEU8" s="1857"/>
      <c r="VEV8" s="454"/>
      <c r="VEW8" s="1858"/>
      <c r="VEX8" s="449"/>
      <c r="VEY8" s="449"/>
      <c r="VEZ8" s="449"/>
      <c r="VFA8" s="460"/>
      <c r="VFB8" s="460"/>
      <c r="VFC8" s="460"/>
      <c r="VFD8" s="460"/>
      <c r="VFE8" s="460"/>
      <c r="VFF8" s="460"/>
      <c r="VFG8" s="450"/>
      <c r="VFH8" s="1857"/>
      <c r="VFI8" s="1857"/>
      <c r="VFJ8" s="1857"/>
      <c r="VFK8" s="1857"/>
      <c r="VFL8" s="1857"/>
      <c r="VFM8" s="1857"/>
      <c r="VFN8" s="1857"/>
      <c r="VFO8" s="1857"/>
      <c r="VFP8" s="1857"/>
      <c r="VFQ8" s="1857"/>
      <c r="VFR8" s="1857"/>
      <c r="VFS8" s="1857"/>
      <c r="VFT8" s="1857"/>
      <c r="VFU8" s="454"/>
      <c r="VFV8" s="1858"/>
      <c r="VFW8" s="449"/>
      <c r="VFX8" s="449"/>
      <c r="VFY8" s="449"/>
      <c r="VFZ8" s="460"/>
      <c r="VGA8" s="460"/>
      <c r="VGB8" s="460"/>
      <c r="VGC8" s="460"/>
      <c r="VGD8" s="460"/>
      <c r="VGE8" s="460"/>
      <c r="VGF8" s="450"/>
      <c r="VGG8" s="1857"/>
      <c r="VGH8" s="1857"/>
      <c r="VGI8" s="1857"/>
      <c r="VGJ8" s="1857"/>
      <c r="VGK8" s="1857"/>
      <c r="VGL8" s="1857"/>
      <c r="VGM8" s="1857"/>
      <c r="VGN8" s="1857"/>
      <c r="VGO8" s="1857"/>
      <c r="VGP8" s="1857"/>
      <c r="VGQ8" s="1857"/>
      <c r="VGR8" s="1857"/>
      <c r="VGS8" s="1857"/>
      <c r="VGT8" s="454"/>
      <c r="VGU8" s="1858"/>
      <c r="VGV8" s="449"/>
      <c r="VGW8" s="449"/>
      <c r="VGX8" s="449"/>
      <c r="VGY8" s="460"/>
      <c r="VGZ8" s="460"/>
      <c r="VHA8" s="460"/>
      <c r="VHB8" s="460"/>
      <c r="VHC8" s="460"/>
      <c r="VHD8" s="460"/>
      <c r="VHE8" s="450"/>
      <c r="VHF8" s="1857"/>
      <c r="VHG8" s="1857"/>
      <c r="VHH8" s="1857"/>
      <c r="VHI8" s="1857"/>
      <c r="VHJ8" s="1857"/>
      <c r="VHK8" s="1857"/>
      <c r="VHL8" s="1857"/>
      <c r="VHM8" s="1857"/>
      <c r="VHN8" s="1857"/>
      <c r="VHO8" s="1857"/>
      <c r="VHP8" s="1857"/>
      <c r="VHQ8" s="1857"/>
      <c r="VHR8" s="1857"/>
      <c r="VHS8" s="454"/>
      <c r="VHT8" s="1858"/>
      <c r="VHU8" s="449"/>
      <c r="VHV8" s="449"/>
      <c r="VHW8" s="449"/>
      <c r="VHX8" s="460"/>
      <c r="VHY8" s="460"/>
      <c r="VHZ8" s="460"/>
      <c r="VIA8" s="460"/>
      <c r="VIB8" s="460"/>
      <c r="VIC8" s="460"/>
      <c r="VID8" s="450"/>
      <c r="VIE8" s="1857"/>
      <c r="VIF8" s="1857"/>
      <c r="VIG8" s="1857"/>
      <c r="VIH8" s="1857"/>
      <c r="VII8" s="1857"/>
      <c r="VIJ8" s="1857"/>
      <c r="VIK8" s="1857"/>
      <c r="VIL8" s="1857"/>
      <c r="VIM8" s="1857"/>
      <c r="VIN8" s="1857"/>
      <c r="VIO8" s="1857"/>
      <c r="VIP8" s="1857"/>
      <c r="VIQ8" s="1857"/>
      <c r="VIR8" s="454"/>
      <c r="VIS8" s="1858"/>
      <c r="VIT8" s="449"/>
      <c r="VIU8" s="449"/>
      <c r="VIV8" s="449"/>
      <c r="VIW8" s="460"/>
      <c r="VIX8" s="460"/>
      <c r="VIY8" s="460"/>
      <c r="VIZ8" s="460"/>
      <c r="VJA8" s="460"/>
      <c r="VJB8" s="460"/>
      <c r="VJC8" s="450"/>
      <c r="VJD8" s="1857"/>
      <c r="VJE8" s="1857"/>
      <c r="VJF8" s="1857"/>
      <c r="VJG8" s="1857"/>
      <c r="VJH8" s="1857"/>
      <c r="VJI8" s="1857"/>
      <c r="VJJ8" s="1857"/>
      <c r="VJK8" s="1857"/>
      <c r="VJL8" s="1857"/>
      <c r="VJM8" s="1857"/>
      <c r="VJN8" s="1857"/>
      <c r="VJO8" s="1857"/>
      <c r="VJP8" s="1857"/>
      <c r="VJQ8" s="454"/>
      <c r="VJR8" s="1858"/>
      <c r="VJS8" s="449"/>
      <c r="VJT8" s="449"/>
      <c r="VJU8" s="449"/>
      <c r="VJV8" s="460"/>
      <c r="VJW8" s="460"/>
      <c r="VJX8" s="460"/>
      <c r="VJY8" s="460"/>
      <c r="VJZ8" s="460"/>
      <c r="VKA8" s="460"/>
      <c r="VKB8" s="450"/>
      <c r="VKC8" s="1857"/>
      <c r="VKD8" s="1857"/>
      <c r="VKE8" s="1857"/>
      <c r="VKF8" s="1857"/>
      <c r="VKG8" s="1857"/>
      <c r="VKH8" s="1857"/>
      <c r="VKI8" s="1857"/>
      <c r="VKJ8" s="1857"/>
      <c r="VKK8" s="1857"/>
      <c r="VKL8" s="1857"/>
      <c r="VKM8" s="1857"/>
      <c r="VKN8" s="1857"/>
      <c r="VKO8" s="1857"/>
      <c r="VKP8" s="454"/>
      <c r="VKQ8" s="1858"/>
      <c r="VKR8" s="449"/>
      <c r="VKS8" s="449"/>
      <c r="VKT8" s="449"/>
      <c r="VKU8" s="460"/>
      <c r="VKV8" s="460"/>
      <c r="VKW8" s="460"/>
      <c r="VKX8" s="460"/>
      <c r="VKY8" s="460"/>
      <c r="VKZ8" s="460"/>
      <c r="VLA8" s="450"/>
      <c r="VLB8" s="1857"/>
      <c r="VLC8" s="1857"/>
      <c r="VLD8" s="1857"/>
      <c r="VLE8" s="1857"/>
      <c r="VLF8" s="1857"/>
      <c r="VLG8" s="1857"/>
      <c r="VLH8" s="1857"/>
      <c r="VLI8" s="1857"/>
      <c r="VLJ8" s="1857"/>
      <c r="VLK8" s="1857"/>
      <c r="VLL8" s="1857"/>
      <c r="VLM8" s="1857"/>
      <c r="VLN8" s="1857"/>
      <c r="VLO8" s="454"/>
      <c r="VLP8" s="1858"/>
      <c r="VLQ8" s="449"/>
      <c r="VLR8" s="449"/>
      <c r="VLS8" s="449"/>
      <c r="VLT8" s="460"/>
      <c r="VLU8" s="460"/>
      <c r="VLV8" s="460"/>
      <c r="VLW8" s="460"/>
      <c r="VLX8" s="460"/>
      <c r="VLY8" s="460"/>
      <c r="VLZ8" s="450"/>
      <c r="VMA8" s="1857"/>
      <c r="VMB8" s="1857"/>
      <c r="VMC8" s="1857"/>
      <c r="VMD8" s="1857"/>
      <c r="VME8" s="1857"/>
      <c r="VMF8" s="1857"/>
      <c r="VMG8" s="1857"/>
      <c r="VMH8" s="1857"/>
      <c r="VMI8" s="1857"/>
      <c r="VMJ8" s="1857"/>
      <c r="VMK8" s="1857"/>
      <c r="VML8" s="1857"/>
      <c r="VMM8" s="1857"/>
      <c r="VMN8" s="454"/>
      <c r="VMO8" s="1858"/>
      <c r="VMP8" s="449"/>
      <c r="VMQ8" s="449"/>
      <c r="VMR8" s="449"/>
      <c r="VMS8" s="460"/>
      <c r="VMT8" s="460"/>
      <c r="VMU8" s="460"/>
      <c r="VMV8" s="460"/>
      <c r="VMW8" s="460"/>
      <c r="VMX8" s="460"/>
      <c r="VMY8" s="450"/>
      <c r="VMZ8" s="1857"/>
      <c r="VNA8" s="1857"/>
      <c r="VNB8" s="1857"/>
      <c r="VNC8" s="1857"/>
      <c r="VND8" s="1857"/>
      <c r="VNE8" s="1857"/>
      <c r="VNF8" s="1857"/>
      <c r="VNG8" s="1857"/>
      <c r="VNH8" s="1857"/>
      <c r="VNI8" s="1857"/>
      <c r="VNJ8" s="1857"/>
      <c r="VNK8" s="1857"/>
      <c r="VNL8" s="1857"/>
      <c r="VNM8" s="454"/>
      <c r="VNN8" s="1858"/>
      <c r="VNO8" s="449"/>
      <c r="VNP8" s="449"/>
      <c r="VNQ8" s="449"/>
      <c r="VNR8" s="460"/>
      <c r="VNS8" s="460"/>
      <c r="VNT8" s="460"/>
      <c r="VNU8" s="460"/>
      <c r="VNV8" s="460"/>
      <c r="VNW8" s="460"/>
      <c r="VNX8" s="450"/>
      <c r="VNY8" s="1857"/>
      <c r="VNZ8" s="1857"/>
      <c r="VOA8" s="1857"/>
      <c r="VOB8" s="1857"/>
      <c r="VOC8" s="1857"/>
      <c r="VOD8" s="1857"/>
      <c r="VOE8" s="1857"/>
      <c r="VOF8" s="1857"/>
      <c r="VOG8" s="1857"/>
      <c r="VOH8" s="1857"/>
      <c r="VOI8" s="1857"/>
      <c r="VOJ8" s="1857"/>
      <c r="VOK8" s="1857"/>
      <c r="VOL8" s="454"/>
      <c r="VOM8" s="1858"/>
      <c r="VON8" s="449"/>
      <c r="VOO8" s="449"/>
      <c r="VOP8" s="449"/>
      <c r="VOQ8" s="460"/>
      <c r="VOR8" s="460"/>
      <c r="VOS8" s="460"/>
      <c r="VOT8" s="460"/>
      <c r="VOU8" s="460"/>
      <c r="VOV8" s="460"/>
      <c r="VOW8" s="450"/>
      <c r="VOX8" s="1857"/>
      <c r="VOY8" s="1857"/>
      <c r="VOZ8" s="1857"/>
      <c r="VPA8" s="1857"/>
      <c r="VPB8" s="1857"/>
      <c r="VPC8" s="1857"/>
      <c r="VPD8" s="1857"/>
      <c r="VPE8" s="1857"/>
      <c r="VPF8" s="1857"/>
      <c r="VPG8" s="1857"/>
      <c r="VPH8" s="1857"/>
      <c r="VPI8" s="1857"/>
      <c r="VPJ8" s="1857"/>
      <c r="VPK8" s="454"/>
      <c r="VPL8" s="1858"/>
      <c r="VPM8" s="449"/>
      <c r="VPN8" s="449"/>
      <c r="VPO8" s="449"/>
      <c r="VPP8" s="460"/>
      <c r="VPQ8" s="460"/>
      <c r="VPR8" s="460"/>
      <c r="VPS8" s="460"/>
      <c r="VPT8" s="460"/>
      <c r="VPU8" s="460"/>
      <c r="VPV8" s="450"/>
      <c r="VPW8" s="1857"/>
      <c r="VPX8" s="1857"/>
      <c r="VPY8" s="1857"/>
      <c r="VPZ8" s="1857"/>
      <c r="VQA8" s="1857"/>
      <c r="VQB8" s="1857"/>
      <c r="VQC8" s="1857"/>
      <c r="VQD8" s="1857"/>
      <c r="VQE8" s="1857"/>
      <c r="VQF8" s="1857"/>
      <c r="VQG8" s="1857"/>
      <c r="VQH8" s="1857"/>
      <c r="VQI8" s="1857"/>
      <c r="VQJ8" s="454"/>
      <c r="VQK8" s="1858"/>
      <c r="VQL8" s="449"/>
      <c r="VQM8" s="449"/>
      <c r="VQN8" s="449"/>
      <c r="VQO8" s="460"/>
      <c r="VQP8" s="460"/>
      <c r="VQQ8" s="460"/>
      <c r="VQR8" s="460"/>
      <c r="VQS8" s="460"/>
      <c r="VQT8" s="460"/>
      <c r="VQU8" s="450"/>
      <c r="VQV8" s="1857"/>
      <c r="VQW8" s="1857"/>
      <c r="VQX8" s="1857"/>
      <c r="VQY8" s="1857"/>
      <c r="VQZ8" s="1857"/>
      <c r="VRA8" s="1857"/>
      <c r="VRB8" s="1857"/>
      <c r="VRC8" s="1857"/>
      <c r="VRD8" s="1857"/>
      <c r="VRE8" s="1857"/>
      <c r="VRF8" s="1857"/>
      <c r="VRG8" s="1857"/>
      <c r="VRH8" s="1857"/>
      <c r="VRI8" s="454"/>
      <c r="VRJ8" s="1858"/>
      <c r="VRK8" s="449"/>
      <c r="VRL8" s="449"/>
      <c r="VRM8" s="449"/>
      <c r="VRN8" s="460"/>
      <c r="VRO8" s="460"/>
      <c r="VRP8" s="460"/>
      <c r="VRQ8" s="460"/>
      <c r="VRR8" s="460"/>
      <c r="VRS8" s="460"/>
      <c r="VRT8" s="450"/>
      <c r="VRU8" s="1857"/>
      <c r="VRV8" s="1857"/>
      <c r="VRW8" s="1857"/>
      <c r="VRX8" s="1857"/>
      <c r="VRY8" s="1857"/>
      <c r="VRZ8" s="1857"/>
      <c r="VSA8" s="1857"/>
      <c r="VSB8" s="1857"/>
      <c r="VSC8" s="1857"/>
      <c r="VSD8" s="1857"/>
      <c r="VSE8" s="1857"/>
      <c r="VSF8" s="1857"/>
      <c r="VSG8" s="1857"/>
      <c r="VSH8" s="454"/>
      <c r="VSI8" s="1858"/>
      <c r="VSJ8" s="449"/>
      <c r="VSK8" s="449"/>
      <c r="VSL8" s="449"/>
      <c r="VSM8" s="460"/>
      <c r="VSN8" s="460"/>
      <c r="VSO8" s="460"/>
      <c r="VSP8" s="460"/>
      <c r="VSQ8" s="460"/>
      <c r="VSR8" s="460"/>
      <c r="VSS8" s="450"/>
      <c r="VST8" s="1857"/>
      <c r="VSU8" s="1857"/>
      <c r="VSV8" s="1857"/>
      <c r="VSW8" s="1857"/>
      <c r="VSX8" s="1857"/>
      <c r="VSY8" s="1857"/>
      <c r="VSZ8" s="1857"/>
      <c r="VTA8" s="1857"/>
      <c r="VTB8" s="1857"/>
      <c r="VTC8" s="1857"/>
      <c r="VTD8" s="1857"/>
      <c r="VTE8" s="1857"/>
      <c r="VTF8" s="1857"/>
      <c r="VTG8" s="454"/>
      <c r="VTH8" s="1858"/>
      <c r="VTI8" s="449"/>
      <c r="VTJ8" s="449"/>
      <c r="VTK8" s="449"/>
      <c r="VTL8" s="460"/>
      <c r="VTM8" s="460"/>
      <c r="VTN8" s="460"/>
      <c r="VTO8" s="460"/>
      <c r="VTP8" s="460"/>
      <c r="VTQ8" s="460"/>
      <c r="VTR8" s="450"/>
      <c r="VTS8" s="1857"/>
      <c r="VTT8" s="1857"/>
      <c r="VTU8" s="1857"/>
      <c r="VTV8" s="1857"/>
      <c r="VTW8" s="1857"/>
      <c r="VTX8" s="1857"/>
      <c r="VTY8" s="1857"/>
      <c r="VTZ8" s="1857"/>
      <c r="VUA8" s="1857"/>
      <c r="VUB8" s="1857"/>
      <c r="VUC8" s="1857"/>
      <c r="VUD8" s="1857"/>
      <c r="VUE8" s="1857"/>
      <c r="VUF8" s="454"/>
      <c r="VUG8" s="1858"/>
      <c r="VUH8" s="449"/>
      <c r="VUI8" s="449"/>
      <c r="VUJ8" s="449"/>
      <c r="VUK8" s="460"/>
      <c r="VUL8" s="460"/>
      <c r="VUM8" s="460"/>
      <c r="VUN8" s="460"/>
      <c r="VUO8" s="460"/>
      <c r="VUP8" s="460"/>
      <c r="VUQ8" s="450"/>
      <c r="VUR8" s="1857"/>
      <c r="VUS8" s="1857"/>
      <c r="VUT8" s="1857"/>
      <c r="VUU8" s="1857"/>
      <c r="VUV8" s="1857"/>
      <c r="VUW8" s="1857"/>
      <c r="VUX8" s="1857"/>
      <c r="VUY8" s="1857"/>
      <c r="VUZ8" s="1857"/>
      <c r="VVA8" s="1857"/>
      <c r="VVB8" s="1857"/>
      <c r="VVC8" s="1857"/>
      <c r="VVD8" s="1857"/>
      <c r="VVE8" s="454"/>
      <c r="VVF8" s="1858"/>
      <c r="VVG8" s="449"/>
      <c r="VVH8" s="449"/>
      <c r="VVI8" s="449"/>
      <c r="VVJ8" s="460"/>
      <c r="VVK8" s="460"/>
      <c r="VVL8" s="460"/>
      <c r="VVM8" s="460"/>
      <c r="VVN8" s="460"/>
      <c r="VVO8" s="460"/>
      <c r="VVP8" s="450"/>
      <c r="VVQ8" s="1857"/>
      <c r="VVR8" s="1857"/>
      <c r="VVS8" s="1857"/>
      <c r="VVT8" s="1857"/>
      <c r="VVU8" s="1857"/>
      <c r="VVV8" s="1857"/>
      <c r="VVW8" s="1857"/>
      <c r="VVX8" s="1857"/>
      <c r="VVY8" s="1857"/>
      <c r="VVZ8" s="1857"/>
      <c r="VWA8" s="1857"/>
      <c r="VWB8" s="1857"/>
      <c r="VWC8" s="1857"/>
      <c r="VWD8" s="454"/>
      <c r="VWE8" s="1858"/>
      <c r="VWF8" s="449"/>
      <c r="VWG8" s="449"/>
      <c r="VWH8" s="449"/>
      <c r="VWI8" s="460"/>
      <c r="VWJ8" s="460"/>
      <c r="VWK8" s="460"/>
      <c r="VWL8" s="460"/>
      <c r="VWM8" s="460"/>
      <c r="VWN8" s="460"/>
      <c r="VWO8" s="450"/>
      <c r="VWP8" s="1857"/>
      <c r="VWQ8" s="1857"/>
      <c r="VWR8" s="1857"/>
      <c r="VWS8" s="1857"/>
      <c r="VWT8" s="1857"/>
      <c r="VWU8" s="1857"/>
      <c r="VWV8" s="1857"/>
      <c r="VWW8" s="1857"/>
      <c r="VWX8" s="1857"/>
      <c r="VWY8" s="1857"/>
      <c r="VWZ8" s="1857"/>
      <c r="VXA8" s="1857"/>
      <c r="VXB8" s="1857"/>
      <c r="VXC8" s="454"/>
      <c r="VXD8" s="1858"/>
      <c r="VXE8" s="449"/>
      <c r="VXF8" s="449"/>
      <c r="VXG8" s="449"/>
      <c r="VXH8" s="460"/>
      <c r="VXI8" s="460"/>
      <c r="VXJ8" s="460"/>
      <c r="VXK8" s="460"/>
      <c r="VXL8" s="460"/>
      <c r="VXM8" s="460"/>
      <c r="VXN8" s="450"/>
      <c r="VXO8" s="1857"/>
      <c r="VXP8" s="1857"/>
      <c r="VXQ8" s="1857"/>
      <c r="VXR8" s="1857"/>
      <c r="VXS8" s="1857"/>
      <c r="VXT8" s="1857"/>
      <c r="VXU8" s="1857"/>
      <c r="VXV8" s="1857"/>
      <c r="VXW8" s="1857"/>
      <c r="VXX8" s="1857"/>
      <c r="VXY8" s="1857"/>
      <c r="VXZ8" s="1857"/>
      <c r="VYA8" s="1857"/>
      <c r="VYB8" s="454"/>
      <c r="VYC8" s="1858"/>
      <c r="VYD8" s="449"/>
      <c r="VYE8" s="449"/>
      <c r="VYF8" s="449"/>
      <c r="VYG8" s="460"/>
      <c r="VYH8" s="460"/>
      <c r="VYI8" s="460"/>
      <c r="VYJ8" s="460"/>
      <c r="VYK8" s="460"/>
      <c r="VYL8" s="460"/>
      <c r="VYM8" s="450"/>
      <c r="VYN8" s="1857"/>
      <c r="VYO8" s="1857"/>
      <c r="VYP8" s="1857"/>
      <c r="VYQ8" s="1857"/>
      <c r="VYR8" s="1857"/>
      <c r="VYS8" s="1857"/>
      <c r="VYT8" s="1857"/>
      <c r="VYU8" s="1857"/>
      <c r="VYV8" s="1857"/>
      <c r="VYW8" s="1857"/>
      <c r="VYX8" s="1857"/>
      <c r="VYY8" s="1857"/>
      <c r="VYZ8" s="1857"/>
      <c r="VZA8" s="454"/>
      <c r="VZB8" s="1858"/>
      <c r="VZC8" s="449"/>
      <c r="VZD8" s="449"/>
      <c r="VZE8" s="449"/>
      <c r="VZF8" s="460"/>
      <c r="VZG8" s="460"/>
      <c r="VZH8" s="460"/>
      <c r="VZI8" s="460"/>
      <c r="VZJ8" s="460"/>
      <c r="VZK8" s="460"/>
      <c r="VZL8" s="450"/>
      <c r="VZM8" s="1857"/>
      <c r="VZN8" s="1857"/>
      <c r="VZO8" s="1857"/>
      <c r="VZP8" s="1857"/>
      <c r="VZQ8" s="1857"/>
      <c r="VZR8" s="1857"/>
      <c r="VZS8" s="1857"/>
      <c r="VZT8" s="1857"/>
      <c r="VZU8" s="1857"/>
      <c r="VZV8" s="1857"/>
      <c r="VZW8" s="1857"/>
      <c r="VZX8" s="1857"/>
      <c r="VZY8" s="1857"/>
      <c r="VZZ8" s="454"/>
      <c r="WAA8" s="1858"/>
      <c r="WAB8" s="449"/>
      <c r="WAC8" s="449"/>
      <c r="WAD8" s="449"/>
      <c r="WAE8" s="460"/>
      <c r="WAF8" s="460"/>
      <c r="WAG8" s="460"/>
      <c r="WAH8" s="460"/>
      <c r="WAI8" s="460"/>
      <c r="WAJ8" s="460"/>
      <c r="WAK8" s="450"/>
      <c r="WAL8" s="1857"/>
      <c r="WAM8" s="1857"/>
      <c r="WAN8" s="1857"/>
      <c r="WAO8" s="1857"/>
      <c r="WAP8" s="1857"/>
      <c r="WAQ8" s="1857"/>
      <c r="WAR8" s="1857"/>
      <c r="WAS8" s="1857"/>
      <c r="WAT8" s="1857"/>
      <c r="WAU8" s="1857"/>
      <c r="WAV8" s="1857"/>
      <c r="WAW8" s="1857"/>
      <c r="WAX8" s="1857"/>
      <c r="WAY8" s="454"/>
      <c r="WAZ8" s="1858"/>
      <c r="WBA8" s="449"/>
      <c r="WBB8" s="449"/>
      <c r="WBC8" s="449"/>
      <c r="WBD8" s="460"/>
      <c r="WBE8" s="460"/>
      <c r="WBF8" s="460"/>
      <c r="WBG8" s="460"/>
      <c r="WBH8" s="460"/>
      <c r="WBI8" s="460"/>
      <c r="WBJ8" s="450"/>
      <c r="WBK8" s="1857"/>
      <c r="WBL8" s="1857"/>
      <c r="WBM8" s="1857"/>
      <c r="WBN8" s="1857"/>
      <c r="WBO8" s="1857"/>
      <c r="WBP8" s="1857"/>
      <c r="WBQ8" s="1857"/>
      <c r="WBR8" s="1857"/>
      <c r="WBS8" s="1857"/>
      <c r="WBT8" s="1857"/>
      <c r="WBU8" s="1857"/>
      <c r="WBV8" s="1857"/>
      <c r="WBW8" s="1857"/>
      <c r="WBX8" s="454"/>
      <c r="WBY8" s="1858"/>
      <c r="WBZ8" s="449"/>
      <c r="WCA8" s="449"/>
      <c r="WCB8" s="449"/>
      <c r="WCC8" s="460"/>
      <c r="WCD8" s="460"/>
      <c r="WCE8" s="460"/>
      <c r="WCF8" s="460"/>
      <c r="WCG8" s="460"/>
      <c r="WCH8" s="460"/>
      <c r="WCI8" s="450"/>
      <c r="WCJ8" s="1857"/>
      <c r="WCK8" s="1857"/>
      <c r="WCL8" s="1857"/>
      <c r="WCM8" s="1857"/>
      <c r="WCN8" s="1857"/>
      <c r="WCO8" s="1857"/>
      <c r="WCP8" s="1857"/>
      <c r="WCQ8" s="1857"/>
      <c r="WCR8" s="1857"/>
      <c r="WCS8" s="1857"/>
      <c r="WCT8" s="1857"/>
      <c r="WCU8" s="1857"/>
      <c r="WCV8" s="1857"/>
      <c r="WCW8" s="454"/>
      <c r="WCX8" s="1858"/>
      <c r="WCY8" s="449"/>
      <c r="WCZ8" s="449"/>
      <c r="WDA8" s="449"/>
      <c r="WDB8" s="460"/>
      <c r="WDC8" s="460"/>
      <c r="WDD8" s="460"/>
      <c r="WDE8" s="460"/>
      <c r="WDF8" s="460"/>
      <c r="WDG8" s="460"/>
      <c r="WDH8" s="450"/>
      <c r="WDI8" s="1857"/>
      <c r="WDJ8" s="1857"/>
      <c r="WDK8" s="1857"/>
      <c r="WDL8" s="1857"/>
      <c r="WDM8" s="1857"/>
      <c r="WDN8" s="1857"/>
      <c r="WDO8" s="1857"/>
      <c r="WDP8" s="1857"/>
      <c r="WDQ8" s="1857"/>
      <c r="WDR8" s="1857"/>
      <c r="WDS8" s="1857"/>
      <c r="WDT8" s="1857"/>
      <c r="WDU8" s="1857"/>
      <c r="WDV8" s="454"/>
      <c r="WDW8" s="1858"/>
      <c r="WDX8" s="449"/>
      <c r="WDY8" s="449"/>
      <c r="WDZ8" s="449"/>
      <c r="WEA8" s="460"/>
      <c r="WEB8" s="460"/>
      <c r="WEC8" s="460"/>
      <c r="WED8" s="460"/>
      <c r="WEE8" s="460"/>
      <c r="WEF8" s="460"/>
      <c r="WEG8" s="450"/>
      <c r="WEH8" s="1857"/>
      <c r="WEI8" s="1857"/>
      <c r="WEJ8" s="1857"/>
      <c r="WEK8" s="1857"/>
      <c r="WEL8" s="1857"/>
      <c r="WEM8" s="1857"/>
      <c r="WEN8" s="1857"/>
      <c r="WEO8" s="1857"/>
      <c r="WEP8" s="1857"/>
      <c r="WEQ8" s="1857"/>
      <c r="WER8" s="1857"/>
      <c r="WES8" s="1857"/>
      <c r="WET8" s="1857"/>
      <c r="WEU8" s="454"/>
      <c r="WEV8" s="1858"/>
      <c r="WEW8" s="449"/>
      <c r="WEX8" s="449"/>
      <c r="WEY8" s="449"/>
      <c r="WEZ8" s="460"/>
      <c r="WFA8" s="460"/>
      <c r="WFB8" s="460"/>
      <c r="WFC8" s="460"/>
      <c r="WFD8" s="460"/>
      <c r="WFE8" s="460"/>
      <c r="WFF8" s="450"/>
      <c r="WFG8" s="1857"/>
      <c r="WFH8" s="1857"/>
      <c r="WFI8" s="1857"/>
      <c r="WFJ8" s="1857"/>
      <c r="WFK8" s="1857"/>
      <c r="WFL8" s="1857"/>
      <c r="WFM8" s="1857"/>
      <c r="WFN8" s="1857"/>
      <c r="WFO8" s="1857"/>
      <c r="WFP8" s="1857"/>
      <c r="WFQ8" s="1857"/>
      <c r="WFR8" s="1857"/>
      <c r="WFS8" s="1857"/>
      <c r="WFT8" s="454"/>
      <c r="WFU8" s="1858"/>
      <c r="WFV8" s="449"/>
      <c r="WFW8" s="449"/>
      <c r="WFX8" s="449"/>
      <c r="WFY8" s="460"/>
      <c r="WFZ8" s="460"/>
      <c r="WGA8" s="460"/>
      <c r="WGB8" s="460"/>
      <c r="WGC8" s="460"/>
      <c r="WGD8" s="460"/>
      <c r="WGE8" s="450"/>
      <c r="WGF8" s="1857"/>
      <c r="WGG8" s="1857"/>
      <c r="WGH8" s="1857"/>
      <c r="WGI8" s="1857"/>
      <c r="WGJ8" s="1857"/>
      <c r="WGK8" s="1857"/>
      <c r="WGL8" s="1857"/>
      <c r="WGM8" s="1857"/>
      <c r="WGN8" s="1857"/>
      <c r="WGO8" s="1857"/>
      <c r="WGP8" s="1857"/>
      <c r="WGQ8" s="1857"/>
      <c r="WGR8" s="1857"/>
      <c r="WGS8" s="454"/>
      <c r="WGT8" s="1858"/>
      <c r="WGU8" s="449"/>
      <c r="WGV8" s="449"/>
      <c r="WGW8" s="449"/>
      <c r="WGX8" s="460"/>
      <c r="WGY8" s="460"/>
      <c r="WGZ8" s="460"/>
      <c r="WHA8" s="460"/>
      <c r="WHB8" s="460"/>
      <c r="WHC8" s="460"/>
      <c r="WHD8" s="450"/>
      <c r="WHE8" s="1857"/>
      <c r="WHF8" s="1857"/>
      <c r="WHG8" s="1857"/>
      <c r="WHH8" s="1857"/>
      <c r="WHI8" s="1857"/>
      <c r="WHJ8" s="1857"/>
      <c r="WHK8" s="1857"/>
      <c r="WHL8" s="1857"/>
      <c r="WHM8" s="1857"/>
      <c r="WHN8" s="1857"/>
      <c r="WHO8" s="1857"/>
      <c r="WHP8" s="1857"/>
      <c r="WHQ8" s="1857"/>
      <c r="WHR8" s="454"/>
      <c r="WHS8" s="1858"/>
      <c r="WHT8" s="449"/>
      <c r="WHU8" s="449"/>
      <c r="WHV8" s="449"/>
      <c r="WHW8" s="460"/>
      <c r="WHX8" s="460"/>
      <c r="WHY8" s="460"/>
      <c r="WHZ8" s="460"/>
      <c r="WIA8" s="460"/>
      <c r="WIB8" s="460"/>
      <c r="WIC8" s="450"/>
      <c r="WID8" s="1857"/>
      <c r="WIE8" s="1857"/>
      <c r="WIF8" s="1857"/>
      <c r="WIG8" s="1857"/>
      <c r="WIH8" s="1857"/>
      <c r="WII8" s="1857"/>
      <c r="WIJ8" s="1857"/>
      <c r="WIK8" s="1857"/>
      <c r="WIL8" s="1857"/>
      <c r="WIM8" s="1857"/>
      <c r="WIN8" s="1857"/>
      <c r="WIO8" s="1857"/>
      <c r="WIP8" s="1857"/>
      <c r="WIQ8" s="454"/>
      <c r="WIR8" s="1858"/>
      <c r="WIS8" s="449"/>
      <c r="WIT8" s="449"/>
      <c r="WIU8" s="449"/>
      <c r="WIV8" s="460"/>
      <c r="WIW8" s="460"/>
      <c r="WIX8" s="460"/>
      <c r="WIY8" s="460"/>
      <c r="WIZ8" s="460"/>
      <c r="WJA8" s="460"/>
      <c r="WJB8" s="450"/>
      <c r="WJC8" s="1857"/>
      <c r="WJD8" s="1857"/>
      <c r="WJE8" s="1857"/>
      <c r="WJF8" s="1857"/>
      <c r="WJG8" s="1857"/>
      <c r="WJH8" s="1857"/>
      <c r="WJI8" s="1857"/>
      <c r="WJJ8" s="1857"/>
      <c r="WJK8" s="1857"/>
      <c r="WJL8" s="1857"/>
      <c r="WJM8" s="1857"/>
      <c r="WJN8" s="1857"/>
      <c r="WJO8" s="1857"/>
      <c r="WJP8" s="454"/>
      <c r="WJQ8" s="1858"/>
      <c r="WJR8" s="449"/>
      <c r="WJS8" s="449"/>
      <c r="WJT8" s="449"/>
      <c r="WJU8" s="460"/>
      <c r="WJV8" s="460"/>
      <c r="WJW8" s="460"/>
      <c r="WJX8" s="460"/>
      <c r="WJY8" s="460"/>
      <c r="WJZ8" s="460"/>
      <c r="WKA8" s="450"/>
      <c r="WKB8" s="1857"/>
      <c r="WKC8" s="1857"/>
      <c r="WKD8" s="1857"/>
      <c r="WKE8" s="1857"/>
      <c r="WKF8" s="1857"/>
      <c r="WKG8" s="1857"/>
      <c r="WKH8" s="1857"/>
      <c r="WKI8" s="1857"/>
      <c r="WKJ8" s="1857"/>
      <c r="WKK8" s="1857"/>
      <c r="WKL8" s="1857"/>
      <c r="WKM8" s="1857"/>
      <c r="WKN8" s="1857"/>
      <c r="WKO8" s="454"/>
      <c r="WKP8" s="1858"/>
      <c r="WKQ8" s="449"/>
      <c r="WKR8" s="449"/>
      <c r="WKS8" s="449"/>
      <c r="WKT8" s="460"/>
      <c r="WKU8" s="460"/>
      <c r="WKV8" s="460"/>
      <c r="WKW8" s="460"/>
      <c r="WKX8" s="460"/>
      <c r="WKY8" s="460"/>
      <c r="WKZ8" s="450"/>
      <c r="WLA8" s="1857"/>
      <c r="WLB8" s="1857"/>
      <c r="WLC8" s="1857"/>
      <c r="WLD8" s="1857"/>
      <c r="WLE8" s="1857"/>
      <c r="WLF8" s="1857"/>
      <c r="WLG8" s="1857"/>
      <c r="WLH8" s="1857"/>
      <c r="WLI8" s="1857"/>
      <c r="WLJ8" s="1857"/>
      <c r="WLK8" s="1857"/>
      <c r="WLL8" s="1857"/>
      <c r="WLM8" s="1857"/>
      <c r="WLN8" s="454"/>
      <c r="WLO8" s="1858"/>
      <c r="WLP8" s="449"/>
      <c r="WLQ8" s="449"/>
      <c r="WLR8" s="449"/>
      <c r="WLS8" s="460"/>
      <c r="WLT8" s="460"/>
      <c r="WLU8" s="460"/>
      <c r="WLV8" s="460"/>
      <c r="WLW8" s="460"/>
      <c r="WLX8" s="460"/>
      <c r="WLY8" s="450"/>
      <c r="WLZ8" s="1857"/>
      <c r="WMA8" s="1857"/>
      <c r="WMB8" s="1857"/>
      <c r="WMC8" s="1857"/>
      <c r="WMD8" s="1857"/>
      <c r="WME8" s="1857"/>
      <c r="WMF8" s="1857"/>
      <c r="WMG8" s="1857"/>
      <c r="WMH8" s="1857"/>
      <c r="WMI8" s="1857"/>
      <c r="WMJ8" s="1857"/>
      <c r="WMK8" s="1857"/>
      <c r="WML8" s="1857"/>
      <c r="WMM8" s="454"/>
      <c r="WMN8" s="1858"/>
      <c r="WMO8" s="449"/>
      <c r="WMP8" s="449"/>
      <c r="WMQ8" s="449"/>
      <c r="WMR8" s="460"/>
      <c r="WMS8" s="460"/>
      <c r="WMT8" s="460"/>
      <c r="WMU8" s="460"/>
      <c r="WMV8" s="460"/>
      <c r="WMW8" s="460"/>
      <c r="WMX8" s="450"/>
      <c r="WMY8" s="1857"/>
      <c r="WMZ8" s="1857"/>
      <c r="WNA8" s="1857"/>
      <c r="WNB8" s="1857"/>
      <c r="WNC8" s="1857"/>
      <c r="WND8" s="1857"/>
      <c r="WNE8" s="1857"/>
      <c r="WNF8" s="1857"/>
      <c r="WNG8" s="1857"/>
      <c r="WNH8" s="1857"/>
      <c r="WNI8" s="1857"/>
      <c r="WNJ8" s="1857"/>
      <c r="WNK8" s="1857"/>
      <c r="WNL8" s="454"/>
      <c r="WNM8" s="1858"/>
      <c r="WNN8" s="449"/>
      <c r="WNO8" s="449"/>
      <c r="WNP8" s="449"/>
      <c r="WNQ8" s="460"/>
      <c r="WNR8" s="460"/>
      <c r="WNS8" s="460"/>
      <c r="WNT8" s="460"/>
      <c r="WNU8" s="460"/>
      <c r="WNV8" s="460"/>
      <c r="WNW8" s="450"/>
      <c r="WNX8" s="1857"/>
      <c r="WNY8" s="1857"/>
      <c r="WNZ8" s="1857"/>
      <c r="WOA8" s="1857"/>
      <c r="WOB8" s="1857"/>
      <c r="WOC8" s="1857"/>
      <c r="WOD8" s="1857"/>
      <c r="WOE8" s="1857"/>
      <c r="WOF8" s="1857"/>
      <c r="WOG8" s="1857"/>
      <c r="WOH8" s="1857"/>
      <c r="WOI8" s="1857"/>
      <c r="WOJ8" s="1857"/>
      <c r="WOK8" s="454"/>
      <c r="WOL8" s="1858"/>
      <c r="WOM8" s="449"/>
      <c r="WON8" s="449"/>
      <c r="WOO8" s="449"/>
      <c r="WOP8" s="460"/>
      <c r="WOQ8" s="460"/>
      <c r="WOR8" s="460"/>
      <c r="WOS8" s="460"/>
      <c r="WOT8" s="460"/>
      <c r="WOU8" s="460"/>
      <c r="WOV8" s="450"/>
      <c r="WOW8" s="1857"/>
      <c r="WOX8" s="1857"/>
      <c r="WOY8" s="1857"/>
      <c r="WOZ8" s="1857"/>
      <c r="WPA8" s="1857"/>
      <c r="WPB8" s="1857"/>
      <c r="WPC8" s="1857"/>
      <c r="WPD8" s="1857"/>
      <c r="WPE8" s="1857"/>
      <c r="WPF8" s="1857"/>
      <c r="WPG8" s="1857"/>
      <c r="WPH8" s="1857"/>
      <c r="WPI8" s="1857"/>
      <c r="WPJ8" s="454"/>
      <c r="WPK8" s="1858"/>
      <c r="WPL8" s="449"/>
      <c r="WPM8" s="449"/>
      <c r="WPN8" s="449"/>
      <c r="WPO8" s="460"/>
      <c r="WPP8" s="460"/>
      <c r="WPQ8" s="460"/>
      <c r="WPR8" s="460"/>
      <c r="WPS8" s="460"/>
      <c r="WPT8" s="460"/>
      <c r="WPU8" s="450"/>
      <c r="WPV8" s="1857"/>
      <c r="WPW8" s="1857"/>
      <c r="WPX8" s="1857"/>
      <c r="WPY8" s="1857"/>
      <c r="WPZ8" s="1857"/>
      <c r="WQA8" s="1857"/>
      <c r="WQB8" s="1857"/>
      <c r="WQC8" s="1857"/>
      <c r="WQD8" s="1857"/>
      <c r="WQE8" s="1857"/>
      <c r="WQF8" s="1857"/>
      <c r="WQG8" s="1857"/>
      <c r="WQH8" s="1857"/>
      <c r="WQI8" s="454"/>
      <c r="WQJ8" s="1858"/>
      <c r="WQK8" s="449"/>
      <c r="WQL8" s="449"/>
      <c r="WQM8" s="449"/>
      <c r="WQN8" s="460"/>
      <c r="WQO8" s="460"/>
      <c r="WQP8" s="460"/>
      <c r="WQQ8" s="460"/>
      <c r="WQR8" s="460"/>
      <c r="WQS8" s="460"/>
      <c r="WQT8" s="450"/>
      <c r="WQU8" s="1857"/>
      <c r="WQV8" s="1857"/>
      <c r="WQW8" s="1857"/>
      <c r="WQX8" s="1857"/>
      <c r="WQY8" s="1857"/>
      <c r="WQZ8" s="1857"/>
      <c r="WRA8" s="1857"/>
      <c r="WRB8" s="1857"/>
      <c r="WRC8" s="1857"/>
      <c r="WRD8" s="1857"/>
      <c r="WRE8" s="1857"/>
      <c r="WRF8" s="1857"/>
      <c r="WRG8" s="1857"/>
      <c r="WRH8" s="454"/>
      <c r="WRI8" s="1858"/>
      <c r="WRJ8" s="449"/>
      <c r="WRK8" s="449"/>
      <c r="WRL8" s="449"/>
      <c r="WRM8" s="460"/>
      <c r="WRN8" s="460"/>
      <c r="WRO8" s="460"/>
      <c r="WRP8" s="460"/>
      <c r="WRQ8" s="460"/>
      <c r="WRR8" s="460"/>
      <c r="WRS8" s="450"/>
      <c r="WRT8" s="1857"/>
      <c r="WRU8" s="1857"/>
      <c r="WRV8" s="1857"/>
      <c r="WRW8" s="1857"/>
      <c r="WRX8" s="1857"/>
      <c r="WRY8" s="1857"/>
      <c r="WRZ8" s="1857"/>
      <c r="WSA8" s="1857"/>
      <c r="WSB8" s="1857"/>
      <c r="WSC8" s="1857"/>
      <c r="WSD8" s="1857"/>
      <c r="WSE8" s="1857"/>
      <c r="WSF8" s="1857"/>
      <c r="WSG8" s="454"/>
      <c r="WSH8" s="1858"/>
      <c r="WSI8" s="449"/>
      <c r="WSJ8" s="449"/>
      <c r="WSK8" s="449"/>
      <c r="WSL8" s="460"/>
      <c r="WSM8" s="460"/>
      <c r="WSN8" s="460"/>
      <c r="WSO8" s="460"/>
      <c r="WSP8" s="460"/>
      <c r="WSQ8" s="460"/>
      <c r="WSR8" s="450"/>
      <c r="WSS8" s="1857"/>
      <c r="WST8" s="1857"/>
      <c r="WSU8" s="1857"/>
      <c r="WSV8" s="1857"/>
      <c r="WSW8" s="1857"/>
      <c r="WSX8" s="1857"/>
      <c r="WSY8" s="1857"/>
      <c r="WSZ8" s="1857"/>
      <c r="WTA8" s="1857"/>
      <c r="WTB8" s="1857"/>
      <c r="WTC8" s="1857"/>
      <c r="WTD8" s="1857"/>
      <c r="WTE8" s="1857"/>
      <c r="WTF8" s="454"/>
      <c r="WTG8" s="1858"/>
      <c r="WTH8" s="449"/>
      <c r="WTI8" s="449"/>
      <c r="WTJ8" s="449"/>
      <c r="WTK8" s="460"/>
      <c r="WTL8" s="460"/>
      <c r="WTM8" s="460"/>
      <c r="WTN8" s="460"/>
      <c r="WTO8" s="460"/>
      <c r="WTP8" s="460"/>
      <c r="WTQ8" s="450"/>
      <c r="WTR8" s="1857"/>
      <c r="WTS8" s="1857"/>
      <c r="WTT8" s="1857"/>
      <c r="WTU8" s="1857"/>
      <c r="WTV8" s="1857"/>
      <c r="WTW8" s="1857"/>
      <c r="WTX8" s="1857"/>
      <c r="WTY8" s="1857"/>
      <c r="WTZ8" s="1857"/>
      <c r="WUA8" s="1857"/>
      <c r="WUB8" s="1857"/>
      <c r="WUC8" s="1857"/>
      <c r="WUD8" s="1857"/>
      <c r="WUE8" s="454"/>
      <c r="WUF8" s="1858"/>
      <c r="WUG8" s="449"/>
      <c r="WUH8" s="449"/>
      <c r="WUI8" s="449"/>
      <c r="WUJ8" s="460"/>
      <c r="WUK8" s="460"/>
      <c r="WUL8" s="460"/>
      <c r="WUM8" s="460"/>
      <c r="WUN8" s="460"/>
      <c r="WUO8" s="460"/>
      <c r="WUP8" s="450"/>
      <c r="WUQ8" s="1857"/>
      <c r="WUR8" s="1857"/>
      <c r="WUS8" s="1857"/>
      <c r="WUT8" s="1857"/>
      <c r="WUU8" s="1857"/>
      <c r="WUV8" s="1857"/>
      <c r="WUW8" s="1857"/>
      <c r="WUX8" s="1857"/>
      <c r="WUY8" s="1857"/>
      <c r="WUZ8" s="1857"/>
      <c r="WVA8" s="1857"/>
      <c r="WVB8" s="1857"/>
      <c r="WVC8" s="1857"/>
      <c r="WVD8" s="454"/>
      <c r="WVE8" s="1858"/>
      <c r="WVF8" s="449"/>
      <c r="WVG8" s="449"/>
      <c r="WVH8" s="449"/>
      <c r="WVI8" s="460"/>
      <c r="WVJ8" s="460"/>
      <c r="WVK8" s="460"/>
      <c r="WVL8" s="460"/>
      <c r="WVM8" s="460"/>
      <c r="WVN8" s="460"/>
      <c r="WVO8" s="450"/>
      <c r="WVP8" s="1857"/>
      <c r="WVQ8" s="1857"/>
      <c r="WVR8" s="1857"/>
      <c r="WVS8" s="1857"/>
      <c r="WVT8" s="1857"/>
      <c r="WVU8" s="1857"/>
      <c r="WVV8" s="1857"/>
      <c r="WVW8" s="1857"/>
      <c r="WVX8" s="1857"/>
      <c r="WVY8" s="1857"/>
      <c r="WVZ8" s="1857"/>
      <c r="WWA8" s="1857"/>
      <c r="WWB8" s="1857"/>
      <c r="WWC8" s="454"/>
      <c r="WWD8" s="1858"/>
      <c r="WWE8" s="449"/>
      <c r="WWF8" s="449"/>
      <c r="WWG8" s="449"/>
      <c r="WWH8" s="460"/>
      <c r="WWI8" s="460"/>
      <c r="WWJ8" s="460"/>
      <c r="WWK8" s="460"/>
      <c r="WWL8" s="460"/>
      <c r="WWM8" s="460"/>
      <c r="WWN8" s="450"/>
      <c r="WWO8" s="1857"/>
      <c r="WWP8" s="1857"/>
      <c r="WWQ8" s="1857"/>
      <c r="WWR8" s="1857"/>
      <c r="WWS8" s="1857"/>
      <c r="WWT8" s="1857"/>
      <c r="WWU8" s="1857"/>
      <c r="WWV8" s="1857"/>
      <c r="WWW8" s="1857"/>
      <c r="WWX8" s="1857"/>
      <c r="WWY8" s="1857"/>
      <c r="WWZ8" s="1857"/>
      <c r="WXA8" s="1857"/>
      <c r="WXB8" s="454"/>
      <c r="WXC8" s="1858"/>
      <c r="WXD8" s="449"/>
      <c r="WXE8" s="449"/>
      <c r="WXF8" s="449"/>
      <c r="WXG8" s="460"/>
      <c r="WXH8" s="460"/>
      <c r="WXI8" s="460"/>
      <c r="WXJ8" s="460"/>
      <c r="WXK8" s="460"/>
      <c r="WXL8" s="460"/>
      <c r="WXM8" s="450"/>
      <c r="WXN8" s="1857"/>
      <c r="WXO8" s="1857"/>
      <c r="WXP8" s="1857"/>
      <c r="WXQ8" s="1857"/>
      <c r="WXR8" s="1857"/>
      <c r="WXS8" s="1857"/>
      <c r="WXT8" s="1857"/>
      <c r="WXU8" s="1857"/>
      <c r="WXV8" s="1857"/>
      <c r="WXW8" s="1857"/>
      <c r="WXX8" s="1857"/>
      <c r="WXY8" s="1857"/>
      <c r="WXZ8" s="1857"/>
      <c r="WYA8" s="454"/>
      <c r="WYB8" s="1858"/>
      <c r="WYC8" s="449"/>
      <c r="WYD8" s="449"/>
      <c r="WYE8" s="449"/>
      <c r="WYF8" s="460"/>
      <c r="WYG8" s="460"/>
      <c r="WYH8" s="460"/>
      <c r="WYI8" s="460"/>
      <c r="WYJ8" s="460"/>
      <c r="WYK8" s="460"/>
      <c r="WYL8" s="450"/>
      <c r="WYM8" s="1857"/>
      <c r="WYN8" s="1857"/>
      <c r="WYO8" s="1857"/>
      <c r="WYP8" s="1857"/>
      <c r="WYQ8" s="1857"/>
      <c r="WYR8" s="1857"/>
      <c r="WYS8" s="1857"/>
      <c r="WYT8" s="1857"/>
      <c r="WYU8" s="1857"/>
      <c r="WYV8" s="1857"/>
      <c r="WYW8" s="1857"/>
      <c r="WYX8" s="1857"/>
      <c r="WYY8" s="1857"/>
      <c r="WYZ8" s="454"/>
      <c r="WZA8" s="1858"/>
      <c r="WZB8" s="449"/>
      <c r="WZC8" s="449"/>
      <c r="WZD8" s="449"/>
      <c r="WZE8" s="460"/>
      <c r="WZF8" s="460"/>
      <c r="WZG8" s="460"/>
      <c r="WZH8" s="460"/>
      <c r="WZI8" s="460"/>
      <c r="WZJ8" s="460"/>
      <c r="WZK8" s="450"/>
      <c r="WZL8" s="1857"/>
      <c r="WZM8" s="1857"/>
      <c r="WZN8" s="1857"/>
      <c r="WZO8" s="1857"/>
      <c r="WZP8" s="1857"/>
      <c r="WZQ8" s="1857"/>
      <c r="WZR8" s="1857"/>
      <c r="WZS8" s="1857"/>
      <c r="WZT8" s="1857"/>
      <c r="WZU8" s="1857"/>
      <c r="WZV8" s="1857"/>
      <c r="WZW8" s="1857"/>
      <c r="WZX8" s="1857"/>
      <c r="WZY8" s="454"/>
      <c r="WZZ8" s="1858"/>
      <c r="XAA8" s="449"/>
      <c r="XAB8" s="449"/>
      <c r="XAC8" s="449"/>
      <c r="XAD8" s="460"/>
      <c r="XAE8" s="460"/>
      <c r="XAF8" s="460"/>
      <c r="XAG8" s="460"/>
      <c r="XAH8" s="460"/>
      <c r="XAI8" s="460"/>
      <c r="XAJ8" s="450"/>
      <c r="XAK8" s="1857"/>
      <c r="XAL8" s="1857"/>
      <c r="XAM8" s="1857"/>
      <c r="XAN8" s="1857"/>
      <c r="XAO8" s="1857"/>
      <c r="XAP8" s="1857"/>
      <c r="XAQ8" s="1857"/>
      <c r="XAR8" s="1857"/>
      <c r="XAS8" s="1857"/>
      <c r="XAT8" s="1857"/>
      <c r="XAU8" s="1857"/>
      <c r="XAV8" s="1857"/>
      <c r="XAW8" s="1857"/>
      <c r="XAX8" s="454"/>
      <c r="XAY8" s="1858"/>
      <c r="XAZ8" s="449"/>
      <c r="XBA8" s="449"/>
      <c r="XBB8" s="449"/>
      <c r="XBC8" s="460"/>
      <c r="XBD8" s="460"/>
      <c r="XBE8" s="460"/>
      <c r="XBF8" s="460"/>
      <c r="XBG8" s="460"/>
      <c r="XBH8" s="460"/>
      <c r="XBI8" s="450"/>
      <c r="XBJ8" s="1857"/>
      <c r="XBK8" s="1857"/>
      <c r="XBL8" s="1857"/>
      <c r="XBM8" s="1857"/>
      <c r="XBN8" s="1857"/>
      <c r="XBO8" s="1857"/>
      <c r="XBP8" s="1857"/>
      <c r="XBQ8" s="1857"/>
      <c r="XBR8" s="1857"/>
      <c r="XBS8" s="1857"/>
      <c r="XBT8" s="1857"/>
      <c r="XBU8" s="1857"/>
      <c r="XBV8" s="1857"/>
      <c r="XBW8" s="454"/>
      <c r="XBX8" s="1858"/>
      <c r="XBY8" s="449"/>
      <c r="XBZ8" s="449"/>
      <c r="XCA8" s="449"/>
      <c r="XCB8" s="460"/>
      <c r="XCC8" s="460"/>
      <c r="XCD8" s="460"/>
      <c r="XCE8" s="460"/>
      <c r="XCF8" s="460"/>
      <c r="XCG8" s="460"/>
      <c r="XCH8" s="450"/>
      <c r="XCI8" s="1857"/>
      <c r="XCJ8" s="1857"/>
      <c r="XCK8" s="1857"/>
      <c r="XCL8" s="1857"/>
      <c r="XCM8" s="1857"/>
      <c r="XCN8" s="1857"/>
      <c r="XCO8" s="1857"/>
      <c r="XCP8" s="1857"/>
      <c r="XCQ8" s="1857"/>
      <c r="XCR8" s="1857"/>
      <c r="XCS8" s="1857"/>
      <c r="XCT8" s="1857"/>
      <c r="XCU8" s="1857"/>
      <c r="XCV8" s="454"/>
      <c r="XCW8" s="1858"/>
      <c r="XCX8" s="449"/>
      <c r="XCY8" s="449"/>
      <c r="XCZ8" s="449"/>
      <c r="XDA8" s="460"/>
      <c r="XDB8" s="460"/>
      <c r="XDC8" s="460"/>
      <c r="XDD8" s="460"/>
      <c r="XDE8" s="460"/>
      <c r="XDF8" s="460"/>
      <c r="XDG8" s="450"/>
      <c r="XDH8" s="1857"/>
      <c r="XDI8" s="1857"/>
      <c r="XDJ8" s="1857"/>
      <c r="XDK8" s="1857"/>
      <c r="XDL8" s="1857"/>
      <c r="XDM8" s="1857"/>
      <c r="XDN8" s="1857"/>
      <c r="XDO8" s="1857"/>
      <c r="XDP8" s="1857"/>
      <c r="XDQ8" s="1857"/>
      <c r="XDR8" s="1857"/>
      <c r="XDS8" s="1857"/>
      <c r="XDT8" s="1857"/>
      <c r="XDU8" s="454"/>
      <c r="XDV8" s="1858"/>
      <c r="XDW8" s="449"/>
      <c r="XDX8" s="449"/>
      <c r="XDY8" s="449"/>
      <c r="XDZ8" s="460"/>
      <c r="XEA8" s="460"/>
      <c r="XEB8" s="460"/>
      <c r="XEC8" s="460"/>
      <c r="XED8" s="460"/>
      <c r="XEE8" s="460"/>
      <c r="XEF8" s="450"/>
      <c r="XEG8" s="1857"/>
      <c r="XEH8" s="1857"/>
      <c r="XEI8" s="1857"/>
      <c r="XEJ8" s="1857"/>
      <c r="XEK8" s="1857"/>
      <c r="XEL8" s="1857"/>
      <c r="XEM8" s="1857"/>
      <c r="XEN8" s="1857"/>
      <c r="XEO8" s="1857"/>
      <c r="XEP8" s="1857"/>
      <c r="XEQ8" s="1857"/>
      <c r="XER8" s="1857"/>
      <c r="XES8" s="1857"/>
      <c r="XET8" s="454"/>
      <c r="XEU8" s="1858"/>
      <c r="XEV8" s="449"/>
      <c r="XEW8" s="449"/>
      <c r="XEX8" s="449"/>
      <c r="XEY8" s="460"/>
      <c r="XEZ8" s="460"/>
      <c r="XFA8" s="460"/>
      <c r="XFB8" s="460"/>
      <c r="XFC8" s="460"/>
      <c r="XFD8" s="460"/>
    </row>
    <row r="9" spans="1:16384">
      <c r="A9" s="1266" t="s">
        <v>2505</v>
      </c>
      <c r="B9" s="1266" t="s">
        <v>2502</v>
      </c>
      <c r="C9" s="1266" t="s">
        <v>2503</v>
      </c>
      <c r="D9" s="460"/>
      <c r="E9" s="1909">
        <v>248028</v>
      </c>
      <c r="F9" s="1909">
        <v>242</v>
      </c>
      <c r="G9" s="1909">
        <v>0</v>
      </c>
      <c r="H9" s="1909" t="s">
        <v>2506</v>
      </c>
      <c r="I9" s="1909">
        <v>555</v>
      </c>
      <c r="J9" s="305"/>
      <c r="K9" s="1267">
        <v>-10.453881710000001</v>
      </c>
      <c r="L9" s="1267">
        <v>-10.59391666</v>
      </c>
      <c r="M9" s="1267">
        <v>-10.296180489999999</v>
      </c>
      <c r="N9" s="1267">
        <v>-10.91416665</v>
      </c>
      <c r="O9" s="1267">
        <v>-10.91416665</v>
      </c>
      <c r="P9" s="1267">
        <v>-10.91416665</v>
      </c>
      <c r="Q9" s="1267">
        <v>-11.059169360000002</v>
      </c>
      <c r="R9" s="1267">
        <v>-11.059169360000002</v>
      </c>
      <c r="S9" s="1267">
        <v>-11.059169360000002</v>
      </c>
      <c r="T9" s="1267">
        <v>-11.656418350000001</v>
      </c>
      <c r="U9" s="1267">
        <v>-12.008815150000002</v>
      </c>
      <c r="V9" s="1267">
        <v>-1.2215041400000024</v>
      </c>
      <c r="W9" s="1267">
        <v>-1.2435538400000026</v>
      </c>
      <c r="X9" s="454"/>
      <c r="Y9" s="1268">
        <f t="shared" si="0"/>
        <v>-5.8487177750000017</v>
      </c>
      <c r="Z9" s="305"/>
      <c r="AA9" s="1269" t="s">
        <v>895</v>
      </c>
      <c r="AB9" s="305"/>
      <c r="AC9" s="1270" t="str">
        <f t="shared" si="1"/>
        <v/>
      </c>
      <c r="AD9" s="1270" t="str">
        <f t="shared" si="1"/>
        <v/>
      </c>
      <c r="AE9" s="1270" t="str">
        <f t="shared" si="1"/>
        <v/>
      </c>
      <c r="AF9" s="1270">
        <f t="shared" si="1"/>
        <v>-5.8487177750000017</v>
      </c>
      <c r="AG9" s="454"/>
      <c r="AH9" s="454"/>
      <c r="AI9" s="1271"/>
    </row>
    <row r="10" spans="1:16384" ht="20.45" customHeight="1">
      <c r="A10" s="1266" t="s">
        <v>2507</v>
      </c>
      <c r="B10" s="1266" t="s">
        <v>2502</v>
      </c>
      <c r="C10" s="1266" t="s">
        <v>2503</v>
      </c>
      <c r="D10" s="460"/>
      <c r="E10" s="1909">
        <v>289931</v>
      </c>
      <c r="F10" s="1909">
        <v>242</v>
      </c>
      <c r="G10" s="1909">
        <v>0</v>
      </c>
      <c r="H10" s="1909" t="s">
        <v>2506</v>
      </c>
      <c r="I10" s="1909">
        <v>555</v>
      </c>
      <c r="J10" s="305"/>
      <c r="K10" s="1267">
        <v>0</v>
      </c>
      <c r="L10" s="1267">
        <v>-0.29784528000000005</v>
      </c>
      <c r="M10" s="1267">
        <v>-0.43105769000000005</v>
      </c>
      <c r="N10" s="1267">
        <v>0</v>
      </c>
      <c r="O10" s="1267">
        <v>-1.9504459999999998E-2</v>
      </c>
      <c r="P10" s="1267">
        <v>-0.10342095999999999</v>
      </c>
      <c r="Q10" s="1267">
        <v>0</v>
      </c>
      <c r="R10" s="1267">
        <v>-0.13291106</v>
      </c>
      <c r="S10" s="1267">
        <v>-0.17913822999999998</v>
      </c>
      <c r="T10" s="1267">
        <v>0</v>
      </c>
      <c r="U10" s="1267">
        <v>0</v>
      </c>
      <c r="V10" s="1267">
        <v>0</v>
      </c>
      <c r="W10" s="1267">
        <v>0</v>
      </c>
      <c r="X10" s="454"/>
      <c r="Y10" s="1268">
        <f t="shared" si="0"/>
        <v>0</v>
      </c>
      <c r="Z10" s="305"/>
      <c r="AA10" s="1269" t="s">
        <v>895</v>
      </c>
      <c r="AB10" s="305"/>
      <c r="AC10" s="1270" t="str">
        <f t="shared" si="1"/>
        <v/>
      </c>
      <c r="AD10" s="1270" t="str">
        <f t="shared" si="1"/>
        <v/>
      </c>
      <c r="AE10" s="1270" t="str">
        <f t="shared" si="1"/>
        <v/>
      </c>
      <c r="AF10" s="1270">
        <f t="shared" si="1"/>
        <v>0</v>
      </c>
      <c r="AG10" s="454"/>
      <c r="AH10" s="454"/>
      <c r="AI10" s="1271"/>
    </row>
    <row r="11" spans="1:16384" ht="24" customHeight="1">
      <c r="A11" s="1266" t="s">
        <v>2508</v>
      </c>
      <c r="B11" s="1266" t="s">
        <v>2502</v>
      </c>
      <c r="C11" s="1266" t="s">
        <v>2503</v>
      </c>
      <c r="D11" s="460"/>
      <c r="E11" s="1909">
        <v>248029</v>
      </c>
      <c r="F11" s="1909">
        <v>242</v>
      </c>
      <c r="G11" s="1909">
        <v>0</v>
      </c>
      <c r="H11" s="1909" t="s">
        <v>2509</v>
      </c>
      <c r="I11" s="1909">
        <v>555</v>
      </c>
      <c r="J11" s="305"/>
      <c r="K11" s="1267">
        <v>-12.6164355</v>
      </c>
      <c r="L11" s="1267">
        <v>-12.6164355</v>
      </c>
      <c r="M11" s="1267">
        <v>-12.6164355</v>
      </c>
      <c r="N11" s="1267">
        <v>-15.2050716</v>
      </c>
      <c r="O11" s="1267">
        <v>-15.2050716</v>
      </c>
      <c r="P11" s="1267">
        <v>-15.2050716</v>
      </c>
      <c r="Q11" s="1267">
        <v>-17.193181800000001</v>
      </c>
      <c r="R11" s="1267">
        <v>-17.193181800000001</v>
      </c>
      <c r="S11" s="1267">
        <v>-17.193181800000001</v>
      </c>
      <c r="T11" s="1267">
        <v>-38.996640079999999</v>
      </c>
      <c r="U11" s="1267">
        <v>-38.996640079999999</v>
      </c>
      <c r="V11" s="1267">
        <v>-27.297658079999998</v>
      </c>
      <c r="W11" s="1267">
        <v>-20.973826799999998</v>
      </c>
      <c r="X11" s="454"/>
      <c r="Y11" s="1268">
        <f t="shared" si="0"/>
        <v>-16.79513115</v>
      </c>
      <c r="Z11" s="305"/>
      <c r="AA11" s="1269" t="s">
        <v>895</v>
      </c>
      <c r="AB11" s="305"/>
      <c r="AC11" s="1270" t="str">
        <f t="shared" si="1"/>
        <v/>
      </c>
      <c r="AD11" s="1270" t="str">
        <f t="shared" si="1"/>
        <v/>
      </c>
      <c r="AE11" s="1270" t="str">
        <f t="shared" si="1"/>
        <v/>
      </c>
      <c r="AF11" s="1270">
        <f t="shared" si="1"/>
        <v>-16.79513115</v>
      </c>
      <c r="AG11" s="454"/>
      <c r="AH11" s="454"/>
      <c r="AI11" s="1271"/>
    </row>
    <row r="12" spans="1:16384" ht="18.600000000000001" customHeight="1">
      <c r="A12" s="1266" t="s">
        <v>2510</v>
      </c>
      <c r="B12" s="1266" t="s">
        <v>2502</v>
      </c>
      <c r="C12" s="1266" t="s">
        <v>2503</v>
      </c>
      <c r="D12" s="460"/>
      <c r="E12" s="1909">
        <v>289932</v>
      </c>
      <c r="F12" s="1909">
        <v>242</v>
      </c>
      <c r="G12" s="1909">
        <v>0</v>
      </c>
      <c r="H12" s="1909" t="s">
        <v>2509</v>
      </c>
      <c r="I12" s="1909">
        <v>555</v>
      </c>
      <c r="J12" s="450"/>
      <c r="K12" s="1267">
        <v>-29.438349500000001</v>
      </c>
      <c r="L12" s="1267">
        <v>-34.448032499999997</v>
      </c>
      <c r="M12" s="1267">
        <v>-38.455122500000002</v>
      </c>
      <c r="N12" s="1267">
        <v>-35.478500400000001</v>
      </c>
      <c r="O12" s="1267">
        <v>-38.362293399999999</v>
      </c>
      <c r="P12" s="1267">
        <v>-40.491779399999999</v>
      </c>
      <c r="Q12" s="1267">
        <v>-40.117424199999995</v>
      </c>
      <c r="R12" s="1267">
        <v>-44.579448199999995</v>
      </c>
      <c r="S12" s="1267">
        <v>-48.373482199999998</v>
      </c>
      <c r="T12" s="1267">
        <v>-30.355996919999995</v>
      </c>
      <c r="U12" s="1267">
        <v>-34.785486919999997</v>
      </c>
      <c r="V12" s="1267">
        <v>-39.016259919999996</v>
      </c>
      <c r="W12" s="1267">
        <v>-48.938929199999997</v>
      </c>
      <c r="X12" s="454"/>
      <c r="Y12" s="1268">
        <f t="shared" si="0"/>
        <v>-39.188639350000003</v>
      </c>
      <c r="Z12" s="305"/>
      <c r="AA12" s="1269" t="s">
        <v>895</v>
      </c>
      <c r="AB12" s="305"/>
      <c r="AC12" s="1270" t="str">
        <f t="shared" si="1"/>
        <v/>
      </c>
      <c r="AD12" s="1270" t="str">
        <f t="shared" si="1"/>
        <v/>
      </c>
      <c r="AE12" s="1270" t="str">
        <f t="shared" si="1"/>
        <v/>
      </c>
      <c r="AF12" s="1270">
        <f t="shared" si="1"/>
        <v>-39.188639350000003</v>
      </c>
      <c r="AG12" s="454"/>
      <c r="AH12" s="454"/>
      <c r="AI12" s="1271"/>
    </row>
    <row r="13" spans="1:16384" ht="27.75" customHeight="1">
      <c r="A13" s="1266" t="s">
        <v>2511</v>
      </c>
      <c r="B13" s="1266" t="s">
        <v>2512</v>
      </c>
      <c r="C13" s="1266" t="s">
        <v>2503</v>
      </c>
      <c r="D13" s="460"/>
      <c r="E13" s="1909">
        <v>248070</v>
      </c>
      <c r="F13" s="1909">
        <v>242</v>
      </c>
      <c r="G13" s="1909">
        <v>0</v>
      </c>
      <c r="H13" s="1909" t="s">
        <v>2513</v>
      </c>
      <c r="I13" s="1909">
        <v>426.5</v>
      </c>
      <c r="J13" s="450"/>
      <c r="K13" s="1267">
        <v>-0.15</v>
      </c>
      <c r="L13" s="1267">
        <v>-0.15</v>
      </c>
      <c r="M13" s="1267">
        <v>-0.15</v>
      </c>
      <c r="N13" s="1267">
        <v>-0.15</v>
      </c>
      <c r="O13" s="1267">
        <v>-0.15</v>
      </c>
      <c r="P13" s="1267">
        <v>-0.15</v>
      </c>
      <c r="Q13" s="1267">
        <v>-0.15</v>
      </c>
      <c r="R13" s="1267">
        <v>0</v>
      </c>
      <c r="S13" s="1267">
        <v>0</v>
      </c>
      <c r="T13" s="1267">
        <v>0</v>
      </c>
      <c r="U13" s="1267">
        <v>0</v>
      </c>
      <c r="V13" s="1267">
        <v>0</v>
      </c>
      <c r="W13" s="1267">
        <v>0</v>
      </c>
      <c r="X13" s="454"/>
      <c r="Y13" s="1268">
        <f t="shared" si="0"/>
        <v>-7.4999999999999997E-2</v>
      </c>
      <c r="Z13" s="305"/>
      <c r="AA13" s="1269" t="s">
        <v>895</v>
      </c>
      <c r="AB13" s="305"/>
      <c r="AC13" s="1270" t="str">
        <f t="shared" si="1"/>
        <v/>
      </c>
      <c r="AD13" s="1270" t="str">
        <f t="shared" si="1"/>
        <v/>
      </c>
      <c r="AE13" s="1270" t="str">
        <f t="shared" si="1"/>
        <v/>
      </c>
      <c r="AF13" s="1270">
        <f t="shared" si="1"/>
        <v>-7.4999999999999997E-2</v>
      </c>
      <c r="AG13" s="454"/>
      <c r="AH13" s="454"/>
      <c r="AI13" s="1271"/>
    </row>
    <row r="14" spans="1:16384">
      <c r="A14" s="1266" t="s">
        <v>2514</v>
      </c>
      <c r="B14" s="1266" t="s">
        <v>2502</v>
      </c>
      <c r="C14" s="1266" t="s">
        <v>2503</v>
      </c>
      <c r="D14" s="460"/>
      <c r="E14" s="1909">
        <v>248025</v>
      </c>
      <c r="F14" s="1909">
        <v>242</v>
      </c>
      <c r="G14" s="1909">
        <v>0</v>
      </c>
      <c r="H14" s="1909" t="s">
        <v>2515</v>
      </c>
      <c r="I14" s="1909">
        <v>555</v>
      </c>
      <c r="J14" s="450"/>
      <c r="K14" s="1267">
        <v>-3.0127999999999999E-2</v>
      </c>
      <c r="L14" s="1267">
        <v>1.4292338600000001</v>
      </c>
      <c r="M14" s="1267">
        <v>-3.0127999999999999E-2</v>
      </c>
      <c r="N14" s="1267">
        <v>-3.0127999999999999E-2</v>
      </c>
      <c r="O14" s="1267">
        <v>-3.0127999999999999E-2</v>
      </c>
      <c r="P14" s="1267">
        <v>-3.0127999999999999E-2</v>
      </c>
      <c r="Q14" s="1267">
        <v>-3.0127999999999999E-2</v>
      </c>
      <c r="R14" s="1267">
        <v>-3.0127999999999999E-2</v>
      </c>
      <c r="S14" s="1267">
        <v>-3.0127999999999999E-2</v>
      </c>
      <c r="T14" s="1267">
        <v>-3.0127999999999999E-2</v>
      </c>
      <c r="U14" s="1267">
        <v>-3.0127999999999999E-2</v>
      </c>
      <c r="V14" s="1267">
        <v>-3.0127999999999999E-2</v>
      </c>
      <c r="W14" s="1267">
        <v>-3.0127999999999999E-2</v>
      </c>
      <c r="X14" s="454"/>
      <c r="Y14" s="1268">
        <f t="shared" si="0"/>
        <v>-3.0127999999999999E-2</v>
      </c>
      <c r="Z14" s="305"/>
      <c r="AA14" s="1269" t="s">
        <v>895</v>
      </c>
      <c r="AB14" s="305"/>
      <c r="AC14" s="1270" t="str">
        <f t="shared" si="1"/>
        <v/>
      </c>
      <c r="AD14" s="1270" t="str">
        <f t="shared" si="1"/>
        <v/>
      </c>
      <c r="AE14" s="1270" t="str">
        <f t="shared" si="1"/>
        <v/>
      </c>
      <c r="AF14" s="1270">
        <f t="shared" si="1"/>
        <v>-3.0127999999999999E-2</v>
      </c>
      <c r="AG14" s="454"/>
      <c r="AH14" s="454"/>
      <c r="AI14" s="1271"/>
    </row>
    <row r="15" spans="1:16384" s="1566" customFormat="1">
      <c r="A15" s="1266" t="s">
        <v>2516</v>
      </c>
      <c r="B15" s="1266" t="s">
        <v>2502</v>
      </c>
      <c r="C15" s="1266" t="s">
        <v>2503</v>
      </c>
      <c r="D15" s="460"/>
      <c r="E15" s="1909">
        <v>284100</v>
      </c>
      <c r="F15" s="1909">
        <v>229</v>
      </c>
      <c r="G15" s="1909">
        <v>0</v>
      </c>
      <c r="H15" s="1909" t="s">
        <v>2517</v>
      </c>
      <c r="I15" s="1909">
        <v>456</v>
      </c>
      <c r="J15" s="450"/>
      <c r="K15" s="1267">
        <v>-0.97142543999999997</v>
      </c>
      <c r="L15" s="1267">
        <v>-0.97142543999999997</v>
      </c>
      <c r="M15" s="1267">
        <v>-0.97142543999999997</v>
      </c>
      <c r="N15" s="1267">
        <v>-0.97142543999999997</v>
      </c>
      <c r="O15" s="1267">
        <v>-0.97142543999999997</v>
      </c>
      <c r="P15" s="1267">
        <v>-0.97142543999999997</v>
      </c>
      <c r="Q15" s="1267">
        <v>-0.97142543999999997</v>
      </c>
      <c r="R15" s="1267">
        <v>-0.97142543999999997</v>
      </c>
      <c r="S15" s="1267">
        <v>-0.97142543999999997</v>
      </c>
      <c r="T15" s="1267">
        <v>-0.97142543999999997</v>
      </c>
      <c r="U15" s="1267">
        <v>-0.97142543999999997</v>
      </c>
      <c r="V15" s="1267">
        <v>-0.97142543999999997</v>
      </c>
      <c r="W15" s="1267">
        <v>0</v>
      </c>
      <c r="X15" s="1562"/>
      <c r="Y15" s="1268">
        <f t="shared" si="0"/>
        <v>-0.48571271999999999</v>
      </c>
      <c r="Z15" s="1563"/>
      <c r="AA15" s="1269" t="s">
        <v>895</v>
      </c>
      <c r="AB15" s="1563"/>
      <c r="AC15" s="1270" t="str">
        <f t="shared" si="1"/>
        <v/>
      </c>
      <c r="AD15" s="1270" t="str">
        <f t="shared" si="1"/>
        <v/>
      </c>
      <c r="AE15" s="1270" t="str">
        <f t="shared" si="1"/>
        <v/>
      </c>
      <c r="AF15" s="1270">
        <f t="shared" si="1"/>
        <v>-0.48571271999999999</v>
      </c>
      <c r="AG15" s="1564"/>
      <c r="AH15" s="1565"/>
      <c r="AI15" s="1565"/>
    </row>
    <row r="16" spans="1:16384" s="1566" customFormat="1">
      <c r="A16" s="1266" t="s">
        <v>2518</v>
      </c>
      <c r="B16" s="1266" t="s">
        <v>2519</v>
      </c>
      <c r="C16" s="1266" t="s">
        <v>2503</v>
      </c>
      <c r="D16" s="460"/>
      <c r="E16" s="1909">
        <v>289517</v>
      </c>
      <c r="F16" s="1909">
        <v>253</v>
      </c>
      <c r="G16" s="1909">
        <v>0</v>
      </c>
      <c r="H16" s="1909" t="s">
        <v>2520</v>
      </c>
      <c r="I16" s="1909">
        <v>151</v>
      </c>
      <c r="J16" s="450"/>
      <c r="K16" s="1267">
        <v>-10.22096518999999</v>
      </c>
      <c r="L16" s="1267">
        <v>-10.26950325999999</v>
      </c>
      <c r="M16" s="1267">
        <v>-10.329588199999989</v>
      </c>
      <c r="N16" s="1267">
        <v>-10.415353579999991</v>
      </c>
      <c r="O16" s="1267">
        <v>-10.456283289999991</v>
      </c>
      <c r="P16" s="1267">
        <v>-10.517383079999991</v>
      </c>
      <c r="Q16" s="1267">
        <v>-10.54505519999999</v>
      </c>
      <c r="R16" s="1267">
        <v>-10.51829609999999</v>
      </c>
      <c r="S16" s="1267">
        <v>-10.49495636999999</v>
      </c>
      <c r="T16" s="1267">
        <v>-10.54841302999999</v>
      </c>
      <c r="U16" s="1267">
        <v>-10.56402419999999</v>
      </c>
      <c r="V16" s="1267">
        <v>-10.51162879999999</v>
      </c>
      <c r="W16" s="1267">
        <v>-10.614976499999988</v>
      </c>
      <c r="X16" s="1562"/>
      <c r="Y16" s="1268">
        <f t="shared" si="0"/>
        <v>-10.417970844999989</v>
      </c>
      <c r="Z16" s="1563"/>
      <c r="AA16" s="1269" t="s">
        <v>895</v>
      </c>
      <c r="AB16" s="1563"/>
      <c r="AC16" s="1270" t="str">
        <f t="shared" si="1"/>
        <v/>
      </c>
      <c r="AD16" s="1270" t="str">
        <f t="shared" si="1"/>
        <v/>
      </c>
      <c r="AE16" s="1270" t="str">
        <f t="shared" si="1"/>
        <v/>
      </c>
      <c r="AF16" s="1270">
        <f t="shared" si="1"/>
        <v>-10.417970844999989</v>
      </c>
      <c r="AG16" s="1564"/>
      <c r="AH16" s="1565"/>
      <c r="AI16" s="1565"/>
    </row>
    <row r="17" spans="1:35">
      <c r="A17" s="1266" t="s">
        <v>2521</v>
      </c>
      <c r="B17" s="1266" t="s">
        <v>2522</v>
      </c>
      <c r="C17" s="1266" t="s">
        <v>2503</v>
      </c>
      <c r="D17" s="460"/>
      <c r="E17" s="1909">
        <v>289955</v>
      </c>
      <c r="F17" s="1909">
        <v>253</v>
      </c>
      <c r="G17" s="1909">
        <v>0</v>
      </c>
      <c r="H17" s="1909" t="s">
        <v>2523</v>
      </c>
      <c r="I17" s="1909" t="s">
        <v>2524</v>
      </c>
      <c r="J17" s="450"/>
      <c r="K17" s="1267">
        <v>-0.35832627000000017</v>
      </c>
      <c r="L17" s="1267">
        <v>-0.41041675000000016</v>
      </c>
      <c r="M17" s="1267">
        <v>-0.45639175000000015</v>
      </c>
      <c r="N17" s="1267">
        <v>-0.5023667500000002</v>
      </c>
      <c r="O17" s="1267">
        <v>-0.54834175000000018</v>
      </c>
      <c r="P17" s="1267">
        <v>-0.18181675000000022</v>
      </c>
      <c r="Q17" s="1267">
        <v>-0.18195841000000024</v>
      </c>
      <c r="R17" s="1267">
        <v>-0.18210008000000025</v>
      </c>
      <c r="S17" s="1267">
        <v>-0.18424175000000026</v>
      </c>
      <c r="T17" s="1267">
        <v>-0.18438342000000027</v>
      </c>
      <c r="U17" s="1267">
        <v>-0.18452509000000028</v>
      </c>
      <c r="V17" s="1267">
        <v>-0.18466676000000029</v>
      </c>
      <c r="W17" s="1267">
        <v>-0.1848084300000003</v>
      </c>
      <c r="X17" s="454"/>
      <c r="Y17" s="1268">
        <f t="shared" si="0"/>
        <v>-0.27156735000000021</v>
      </c>
      <c r="Z17" s="305"/>
      <c r="AA17" s="1269" t="s">
        <v>1191</v>
      </c>
      <c r="AB17" s="305"/>
      <c r="AC17" s="1270">
        <f t="shared" si="1"/>
        <v>-0.27156735000000021</v>
      </c>
      <c r="AD17" s="1270" t="str">
        <f t="shared" si="1"/>
        <v/>
      </c>
      <c r="AE17" s="1270" t="str">
        <f t="shared" si="1"/>
        <v/>
      </c>
      <c r="AF17" s="1270" t="str">
        <f t="shared" si="1"/>
        <v/>
      </c>
      <c r="AG17" s="454"/>
      <c r="AH17" s="454"/>
      <c r="AI17" s="1271"/>
    </row>
    <row r="18" spans="1:35">
      <c r="A18" s="1266" t="s">
        <v>2525</v>
      </c>
      <c r="B18" s="1266" t="s">
        <v>2522</v>
      </c>
      <c r="C18" s="1266" t="s">
        <v>2503</v>
      </c>
      <c r="D18" s="460"/>
      <c r="E18" s="1909">
        <v>289955</v>
      </c>
      <c r="F18" s="1909">
        <v>253</v>
      </c>
      <c r="G18" s="1909">
        <v>0</v>
      </c>
      <c r="H18" s="1909" t="s">
        <v>2523</v>
      </c>
      <c r="I18" s="1909">
        <v>589</v>
      </c>
      <c r="J18" s="450"/>
      <c r="K18" s="1267">
        <v>-1.9046734999999999</v>
      </c>
      <c r="L18" s="1267">
        <v>-1.90486099</v>
      </c>
      <c r="M18" s="1267">
        <v>-1.90504849</v>
      </c>
      <c r="N18" s="1267">
        <v>-1.9052359999999999</v>
      </c>
      <c r="O18" s="1267">
        <v>-1.9054234999999999</v>
      </c>
      <c r="P18" s="1267">
        <v>-1.90561099</v>
      </c>
      <c r="Q18" s="1267">
        <v>-1.90579849</v>
      </c>
      <c r="R18" s="1267">
        <v>-1.90598599</v>
      </c>
      <c r="S18" s="1267">
        <v>-1.90617349</v>
      </c>
      <c r="T18" s="1267">
        <v>-1.90636099</v>
      </c>
      <c r="U18" s="1267">
        <v>-1.90654849</v>
      </c>
      <c r="V18" s="1267">
        <v>-1.90673599</v>
      </c>
      <c r="W18" s="1267">
        <v>-1.9069234900000001</v>
      </c>
      <c r="X18" s="454"/>
      <c r="Y18" s="1268">
        <f t="shared" si="0"/>
        <v>-1.905798495</v>
      </c>
      <c r="Z18" s="305"/>
      <c r="AA18" s="1269" t="s">
        <v>895</v>
      </c>
      <c r="AB18" s="305"/>
      <c r="AC18" s="1270" t="str">
        <f t="shared" si="1"/>
        <v/>
      </c>
      <c r="AD18" s="1270" t="str">
        <f t="shared" si="1"/>
        <v/>
      </c>
      <c r="AE18" s="1270" t="str">
        <f t="shared" si="1"/>
        <v/>
      </c>
      <c r="AF18" s="1270">
        <f t="shared" si="1"/>
        <v>-1.905798495</v>
      </c>
      <c r="AG18" s="454"/>
      <c r="AH18" s="454"/>
      <c r="AI18" s="1271"/>
    </row>
    <row r="19" spans="1:35">
      <c r="A19" s="1266" t="s">
        <v>2526</v>
      </c>
      <c r="B19" s="1266" t="s">
        <v>2527</v>
      </c>
      <c r="C19" s="1266" t="s">
        <v>2503</v>
      </c>
      <c r="D19" s="460"/>
      <c r="E19" s="1909">
        <v>280310</v>
      </c>
      <c r="F19" s="1909">
        <v>228.2</v>
      </c>
      <c r="G19" s="1909">
        <v>0</v>
      </c>
      <c r="H19" s="1909" t="s">
        <v>2528</v>
      </c>
      <c r="I19" s="1909">
        <v>925</v>
      </c>
      <c r="J19" s="450"/>
      <c r="K19" s="1267">
        <v>-11.983585100000001</v>
      </c>
      <c r="L19" s="1267">
        <v>-12.137585100000001</v>
      </c>
      <c r="M19" s="1267">
        <v>-11.685585100000001</v>
      </c>
      <c r="N19" s="1267">
        <v>-11.690585100000002</v>
      </c>
      <c r="O19" s="1267">
        <v>-16.820121100000001</v>
      </c>
      <c r="P19" s="1267">
        <v>-6.7675851000000016</v>
      </c>
      <c r="Q19" s="1267">
        <v>-8.8320851000000022</v>
      </c>
      <c r="R19" s="1267">
        <v>-10.481585100000002</v>
      </c>
      <c r="S19" s="1267">
        <v>-10.149085100000001</v>
      </c>
      <c r="T19" s="1267">
        <v>-9.8345851000000017</v>
      </c>
      <c r="U19" s="1267">
        <v>-9.6430851000000022</v>
      </c>
      <c r="V19" s="1267">
        <v>-9.0235000000000021</v>
      </c>
      <c r="W19" s="1267">
        <v>-7.8235000000000019</v>
      </c>
      <c r="X19" s="454"/>
      <c r="Y19" s="1268">
        <f t="shared" si="0"/>
        <v>-9.9035425500000009</v>
      </c>
      <c r="Z19" s="305"/>
      <c r="AA19" s="1269" t="s">
        <v>895</v>
      </c>
      <c r="AB19" s="305"/>
      <c r="AC19" s="1270" t="str">
        <f t="shared" si="1"/>
        <v/>
      </c>
      <c r="AD19" s="1270" t="str">
        <f t="shared" si="1"/>
        <v/>
      </c>
      <c r="AE19" s="1270" t="str">
        <f t="shared" si="1"/>
        <v/>
      </c>
      <c r="AF19" s="1270">
        <f t="shared" si="1"/>
        <v>-9.9035425500000009</v>
      </c>
      <c r="AG19" s="454"/>
      <c r="AH19" s="454"/>
      <c r="AI19" s="1271"/>
    </row>
    <row r="20" spans="1:35">
      <c r="A20" s="1266" t="s">
        <v>2529</v>
      </c>
      <c r="B20" s="1266" t="s">
        <v>2527</v>
      </c>
      <c r="C20" s="1266" t="s">
        <v>2503</v>
      </c>
      <c r="D20" s="460"/>
      <c r="E20" s="1909">
        <v>280311</v>
      </c>
      <c r="F20" s="1909">
        <v>228.2</v>
      </c>
      <c r="G20" s="1909">
        <v>0</v>
      </c>
      <c r="H20" s="1909" t="s">
        <v>2528</v>
      </c>
      <c r="I20" s="1909">
        <v>925</v>
      </c>
      <c r="J20" s="450"/>
      <c r="K20" s="1267">
        <v>-1723.28966818</v>
      </c>
      <c r="L20" s="1267">
        <v>-1722.9764769799999</v>
      </c>
      <c r="M20" s="1267">
        <v>-1712.67647698</v>
      </c>
      <c r="N20" s="1267">
        <v>-1704.63321359</v>
      </c>
      <c r="O20" s="1267">
        <v>-1652.8397903399998</v>
      </c>
      <c r="P20" s="1267">
        <v>-1637.22021359</v>
      </c>
      <c r="Q20" s="1267">
        <v>-1883.3130775899999</v>
      </c>
      <c r="R20" s="1267">
        <v>-1636.44857759</v>
      </c>
      <c r="S20" s="1267">
        <v>-1445.73052876</v>
      </c>
      <c r="T20" s="1267">
        <v>-1444.5580287600001</v>
      </c>
      <c r="U20" s="1267">
        <v>-1441.5147887600001</v>
      </c>
      <c r="V20" s="1267">
        <v>-1441.2147887599999</v>
      </c>
      <c r="W20" s="1267">
        <v>-1535.9366537599999</v>
      </c>
      <c r="X20" s="454"/>
      <c r="Y20" s="1268">
        <f t="shared" si="0"/>
        <v>-1629.6131609700001</v>
      </c>
      <c r="Z20" s="305"/>
      <c r="AA20" s="1269" t="s">
        <v>895</v>
      </c>
      <c r="AB20" s="305"/>
      <c r="AC20" s="1270" t="str">
        <f t="shared" si="1"/>
        <v/>
      </c>
      <c r="AD20" s="1270" t="str">
        <f t="shared" si="1"/>
        <v/>
      </c>
      <c r="AE20" s="1270" t="str">
        <f t="shared" si="1"/>
        <v/>
      </c>
      <c r="AF20" s="1270">
        <f t="shared" si="1"/>
        <v>-1629.6131609700001</v>
      </c>
      <c r="AG20" s="454"/>
      <c r="AH20" s="454"/>
      <c r="AI20" s="1271"/>
    </row>
    <row r="21" spans="1:35">
      <c r="A21" s="1266" t="s">
        <v>2530</v>
      </c>
      <c r="B21" s="1266" t="s">
        <v>2527</v>
      </c>
      <c r="C21" s="1266" t="s">
        <v>2503</v>
      </c>
      <c r="D21" s="460"/>
      <c r="E21" s="1909">
        <v>116690</v>
      </c>
      <c r="F21" s="1909">
        <v>143</v>
      </c>
      <c r="G21" s="1909">
        <v>0</v>
      </c>
      <c r="H21" s="1909" t="s">
        <v>2531</v>
      </c>
      <c r="I21" s="1909" t="s">
        <v>2394</v>
      </c>
      <c r="J21" s="450"/>
      <c r="K21" s="1267">
        <v>0</v>
      </c>
      <c r="L21" s="1267">
        <v>0</v>
      </c>
      <c r="M21" s="1267">
        <v>0</v>
      </c>
      <c r="N21" s="1267">
        <v>0</v>
      </c>
      <c r="O21" s="1267">
        <v>0</v>
      </c>
      <c r="P21" s="1267">
        <v>0</v>
      </c>
      <c r="Q21" s="1267">
        <v>0</v>
      </c>
      <c r="R21" s="1267">
        <v>0</v>
      </c>
      <c r="S21" s="1267">
        <v>0</v>
      </c>
      <c r="T21" s="1267">
        <v>0</v>
      </c>
      <c r="U21" s="1267">
        <v>-0.93791000000000002</v>
      </c>
      <c r="V21" s="1267">
        <v>-1.1254919999999999</v>
      </c>
      <c r="W21" s="1267">
        <v>-1.3130740000000001</v>
      </c>
      <c r="X21" s="454"/>
      <c r="Y21" s="1268">
        <f t="shared" si="0"/>
        <v>-0.65653700000000004</v>
      </c>
      <c r="Z21" s="305"/>
      <c r="AA21" s="1269" t="s">
        <v>895</v>
      </c>
      <c r="AB21" s="305"/>
      <c r="AC21" s="1270" t="str">
        <f t="shared" si="1"/>
        <v/>
      </c>
      <c r="AD21" s="1270" t="str">
        <f t="shared" si="1"/>
        <v/>
      </c>
      <c r="AE21" s="1270" t="str">
        <f t="shared" si="1"/>
        <v/>
      </c>
      <c r="AF21" s="1270">
        <f t="shared" si="1"/>
        <v>-0.65653700000000004</v>
      </c>
      <c r="AG21" s="454"/>
      <c r="AH21" s="454"/>
      <c r="AI21" s="1271"/>
    </row>
    <row r="22" spans="1:35">
      <c r="A22" s="1266" t="s">
        <v>2532</v>
      </c>
      <c r="B22" s="1266" t="s">
        <v>2527</v>
      </c>
      <c r="C22" s="1266" t="s">
        <v>2503</v>
      </c>
      <c r="D22" s="460"/>
      <c r="E22" s="1909">
        <v>156909</v>
      </c>
      <c r="F22" s="1909">
        <v>228.2</v>
      </c>
      <c r="G22" s="1909">
        <v>0</v>
      </c>
      <c r="H22" s="1909" t="s">
        <v>2528</v>
      </c>
      <c r="I22" s="1909">
        <v>925</v>
      </c>
      <c r="J22" s="450"/>
      <c r="K22" s="1267">
        <v>498.75</v>
      </c>
      <c r="L22" s="1267">
        <v>216.25</v>
      </c>
      <c r="M22" s="1267">
        <v>161.25</v>
      </c>
      <c r="N22" s="1267">
        <v>148.75</v>
      </c>
      <c r="O22" s="1267">
        <v>148.75</v>
      </c>
      <c r="P22" s="1267">
        <v>148.75</v>
      </c>
      <c r="Q22" s="1267">
        <v>138.75</v>
      </c>
      <c r="R22" s="1267">
        <v>138.75</v>
      </c>
      <c r="S22" s="1267">
        <v>138.75</v>
      </c>
      <c r="T22" s="1267">
        <v>133.75</v>
      </c>
      <c r="U22" s="1267">
        <v>133.75</v>
      </c>
      <c r="V22" s="1267">
        <v>133.75</v>
      </c>
      <c r="W22" s="1267">
        <v>97.5</v>
      </c>
      <c r="X22" s="454"/>
      <c r="Y22" s="1268">
        <f t="shared" si="0"/>
        <v>298.125</v>
      </c>
      <c r="Z22" s="305"/>
      <c r="AA22" s="1269" t="s">
        <v>895</v>
      </c>
      <c r="AB22" s="305"/>
      <c r="AC22" s="1270" t="str">
        <f t="shared" si="1"/>
        <v/>
      </c>
      <c r="AD22" s="1270" t="str">
        <f t="shared" si="1"/>
        <v/>
      </c>
      <c r="AE22" s="1270" t="str">
        <f t="shared" si="1"/>
        <v/>
      </c>
      <c r="AF22" s="1270">
        <f t="shared" si="1"/>
        <v>298.125</v>
      </c>
      <c r="AG22" s="454"/>
      <c r="AH22" s="454"/>
      <c r="AI22" s="1271"/>
    </row>
    <row r="23" spans="1:35">
      <c r="A23" s="1266" t="s">
        <v>2533</v>
      </c>
      <c r="B23" s="1266" t="s">
        <v>2527</v>
      </c>
      <c r="C23" s="1266" t="s">
        <v>2503</v>
      </c>
      <c r="D23" s="460"/>
      <c r="E23" s="1909">
        <v>280307</v>
      </c>
      <c r="F23" s="1909">
        <v>228.1</v>
      </c>
      <c r="G23" s="1909">
        <v>0</v>
      </c>
      <c r="H23" s="1909" t="s">
        <v>2534</v>
      </c>
      <c r="I23" s="1909">
        <v>925</v>
      </c>
      <c r="J23" s="450"/>
      <c r="K23" s="1267">
        <v>-10.797000000000001</v>
      </c>
      <c r="L23" s="1267">
        <v>-9.2970000000000006</v>
      </c>
      <c r="M23" s="1267">
        <v>-9.2970000000000006</v>
      </c>
      <c r="N23" s="1267">
        <v>-9.2970000000000006</v>
      </c>
      <c r="O23" s="1267">
        <v>-9.2970000000000006</v>
      </c>
      <c r="P23" s="1267">
        <v>-9.2970000000000006</v>
      </c>
      <c r="Q23" s="1267">
        <v>-9.2970000000000006</v>
      </c>
      <c r="R23" s="1267">
        <v>-9.2970000000000006</v>
      </c>
      <c r="S23" s="1267">
        <v>-9.2970000000000006</v>
      </c>
      <c r="T23" s="1267">
        <v>-2.0287500000000001</v>
      </c>
      <c r="U23" s="1267">
        <v>-2.0287500000000001</v>
      </c>
      <c r="V23" s="1267">
        <v>-2.0287500000000001</v>
      </c>
      <c r="W23" s="1267">
        <v>-2.0287500000000001</v>
      </c>
      <c r="X23" s="454"/>
      <c r="Y23" s="1268">
        <f t="shared" si="0"/>
        <v>-6.4128750000000005</v>
      </c>
      <c r="Z23" s="305"/>
      <c r="AA23" s="1269" t="s">
        <v>895</v>
      </c>
      <c r="AB23" s="305"/>
      <c r="AC23" s="1270" t="str">
        <f t="shared" si="1"/>
        <v/>
      </c>
      <c r="AD23" s="1270" t="str">
        <f t="shared" si="1"/>
        <v/>
      </c>
      <c r="AE23" s="1270" t="str">
        <f t="shared" si="1"/>
        <v/>
      </c>
      <c r="AF23" s="1270">
        <f t="shared" si="1"/>
        <v>-6.4128750000000005</v>
      </c>
      <c r="AG23" s="454"/>
      <c r="AH23" s="454"/>
      <c r="AI23" s="1271"/>
    </row>
    <row r="24" spans="1:35">
      <c r="A24" s="1266" t="s">
        <v>2535</v>
      </c>
      <c r="B24" s="1266" t="s">
        <v>2536</v>
      </c>
      <c r="C24" s="1266" t="s">
        <v>2503</v>
      </c>
      <c r="D24" s="460"/>
      <c r="E24" s="1909">
        <v>118100</v>
      </c>
      <c r="F24" s="1909">
        <v>144</v>
      </c>
      <c r="G24" s="1909">
        <v>0</v>
      </c>
      <c r="H24" s="1909" t="s">
        <v>2537</v>
      </c>
      <c r="I24" s="1909">
        <v>904</v>
      </c>
      <c r="J24" s="450"/>
      <c r="K24" s="1267">
        <v>-29.796747</v>
      </c>
      <c r="L24" s="1267">
        <v>-27.741544999999999</v>
      </c>
      <c r="M24" s="1267">
        <v>-26.552541000000002</v>
      </c>
      <c r="N24" s="1267">
        <v>-26.030072000000001</v>
      </c>
      <c r="O24" s="1267">
        <v>-24.774125000000002</v>
      </c>
      <c r="P24" s="1267">
        <v>-24.913573</v>
      </c>
      <c r="Q24" s="1267">
        <v>-25.097173999999999</v>
      </c>
      <c r="R24" s="1267">
        <v>-23.895005000000001</v>
      </c>
      <c r="S24" s="1267">
        <v>-21.987936999999999</v>
      </c>
      <c r="T24" s="1267">
        <v>-21.447814000000001</v>
      </c>
      <c r="U24" s="1267">
        <v>-20.478313</v>
      </c>
      <c r="V24" s="1267">
        <v>-20.738451000000001</v>
      </c>
      <c r="W24" s="1267">
        <v>-21.152349999999998</v>
      </c>
      <c r="X24" s="454"/>
      <c r="Y24" s="1268">
        <f t="shared" si="0"/>
        <v>-25.474548499999997</v>
      </c>
      <c r="Z24" s="305"/>
      <c r="AA24" s="1269" t="s">
        <v>895</v>
      </c>
      <c r="AB24" s="305"/>
      <c r="AC24" s="1270" t="str">
        <f t="shared" ref="AC24:AF58" si="2">IF($AA24=AC$7,$Y24,"")</f>
        <v/>
      </c>
      <c r="AD24" s="1270" t="str">
        <f t="shared" si="2"/>
        <v/>
      </c>
      <c r="AE24" s="1270" t="str">
        <f t="shared" si="2"/>
        <v/>
      </c>
      <c r="AF24" s="1270">
        <f t="shared" si="2"/>
        <v>-25.474548499999997</v>
      </c>
      <c r="AG24" s="454"/>
      <c r="AH24" s="454"/>
      <c r="AI24" s="1271"/>
    </row>
    <row r="25" spans="1:35">
      <c r="A25" s="1266" t="s">
        <v>2538</v>
      </c>
      <c r="B25" s="1266" t="s">
        <v>2536</v>
      </c>
      <c r="C25" s="1266" t="s">
        <v>2503</v>
      </c>
      <c r="D25" s="460"/>
      <c r="E25" s="1909">
        <v>118150</v>
      </c>
      <c r="F25" s="1909">
        <v>144</v>
      </c>
      <c r="G25" s="1909">
        <v>0</v>
      </c>
      <c r="H25" s="1909" t="s">
        <v>2537</v>
      </c>
      <c r="I25" s="1909">
        <v>904</v>
      </c>
      <c r="J25" s="450"/>
      <c r="K25" s="1267">
        <v>-0.16008873000000001</v>
      </c>
      <c r="L25" s="1267">
        <v>-0.16008873000000001</v>
      </c>
      <c r="M25" s="1267">
        <v>-0.16008873000000001</v>
      </c>
      <c r="N25" s="1267">
        <v>-0.17907175</v>
      </c>
      <c r="O25" s="1267">
        <v>-0.17907175</v>
      </c>
      <c r="P25" s="1267">
        <v>-0.17907175</v>
      </c>
      <c r="Q25" s="1267">
        <v>-0.17130898999999999</v>
      </c>
      <c r="R25" s="1267">
        <v>-0.17130898999999999</v>
      </c>
      <c r="S25" s="1267">
        <v>-0.17130898999999999</v>
      </c>
      <c r="T25" s="1267">
        <v>-0.15490885999999998</v>
      </c>
      <c r="U25" s="1267">
        <v>-0.15490885999999998</v>
      </c>
      <c r="V25" s="1267">
        <v>-0.15490885999999998</v>
      </c>
      <c r="W25" s="1267">
        <v>-0.15400337999999997</v>
      </c>
      <c r="X25" s="454"/>
      <c r="Y25" s="1268">
        <f t="shared" si="0"/>
        <v>-0.15704605499999999</v>
      </c>
      <c r="Z25" s="305"/>
      <c r="AA25" s="1269" t="s">
        <v>895</v>
      </c>
      <c r="AB25" s="305"/>
      <c r="AC25" s="1270" t="str">
        <f t="shared" si="2"/>
        <v/>
      </c>
      <c r="AD25" s="1270" t="str">
        <f t="shared" si="2"/>
        <v/>
      </c>
      <c r="AE25" s="1270" t="str">
        <f t="shared" si="2"/>
        <v/>
      </c>
      <c r="AF25" s="1270">
        <f t="shared" si="2"/>
        <v>-0.15704605499999999</v>
      </c>
      <c r="AG25" s="454"/>
      <c r="AH25" s="454"/>
      <c r="AI25" s="1271"/>
    </row>
    <row r="26" spans="1:35">
      <c r="A26" s="1266" t="s">
        <v>2539</v>
      </c>
      <c r="B26" s="1266" t="s">
        <v>2536</v>
      </c>
      <c r="C26" s="1266" t="s">
        <v>2503</v>
      </c>
      <c r="D26" s="460"/>
      <c r="E26" s="1909">
        <v>118155</v>
      </c>
      <c r="F26" s="1909">
        <v>172</v>
      </c>
      <c r="G26" s="1909">
        <v>0</v>
      </c>
      <c r="H26" s="1909" t="s">
        <v>2540</v>
      </c>
      <c r="I26" s="1909">
        <v>454</v>
      </c>
      <c r="J26" s="450"/>
      <c r="K26" s="1267">
        <v>-5.355E-2</v>
      </c>
      <c r="L26" s="1267">
        <v>-5.355E-2</v>
      </c>
      <c r="M26" s="1267">
        <v>-5.355E-2</v>
      </c>
      <c r="N26" s="1267">
        <v>-6.8572949999999994E-2</v>
      </c>
      <c r="O26" s="1267">
        <v>-6.8572949999999994E-2</v>
      </c>
      <c r="P26" s="1267">
        <v>-6.8572949999999994E-2</v>
      </c>
      <c r="Q26" s="1267">
        <v>-0.17544890000000002</v>
      </c>
      <c r="R26" s="1267">
        <v>-0.17544890000000002</v>
      </c>
      <c r="S26" s="1267">
        <v>-0.17544890000000002</v>
      </c>
      <c r="T26" s="1267">
        <v>-0.28698535999999997</v>
      </c>
      <c r="U26" s="1267">
        <v>-0.28698535999999997</v>
      </c>
      <c r="V26" s="1267">
        <v>-0.28698535999999997</v>
      </c>
      <c r="W26" s="1267">
        <v>-0.24257742999999993</v>
      </c>
      <c r="X26" s="454"/>
      <c r="Y26" s="1268">
        <f t="shared" si="0"/>
        <v>-0.14806371499999996</v>
      </c>
      <c r="Z26" s="305"/>
      <c r="AA26" s="1269" t="s">
        <v>895</v>
      </c>
      <c r="AB26" s="305"/>
      <c r="AC26" s="1270" t="str">
        <f t="shared" si="2"/>
        <v/>
      </c>
      <c r="AD26" s="1270" t="str">
        <f t="shared" si="2"/>
        <v/>
      </c>
      <c r="AE26" s="1270" t="str">
        <f t="shared" si="2"/>
        <v/>
      </c>
      <c r="AF26" s="1270">
        <f t="shared" si="2"/>
        <v>-0.14806371499999996</v>
      </c>
      <c r="AG26" s="454"/>
      <c r="AH26" s="454"/>
      <c r="AI26" s="1271"/>
    </row>
    <row r="27" spans="1:35">
      <c r="A27" s="1266" t="s">
        <v>2541</v>
      </c>
      <c r="B27" s="1266" t="s">
        <v>2542</v>
      </c>
      <c r="C27" s="1266" t="s">
        <v>2503</v>
      </c>
      <c r="D27" s="460"/>
      <c r="E27" s="1909">
        <v>118157</v>
      </c>
      <c r="F27" s="1909">
        <v>144</v>
      </c>
      <c r="G27" s="1909">
        <v>0</v>
      </c>
      <c r="H27" s="1909" t="s">
        <v>2543</v>
      </c>
      <c r="I27" s="1909">
        <v>904</v>
      </c>
      <c r="J27" s="450"/>
      <c r="K27" s="1267">
        <v>-0.18343489000000002</v>
      </c>
      <c r="L27" s="1267">
        <v>-0.18343489000000002</v>
      </c>
      <c r="M27" s="1267">
        <v>-0.18343489000000002</v>
      </c>
      <c r="N27" s="1267">
        <v>-0.1173225</v>
      </c>
      <c r="O27" s="1267">
        <v>-0.1173225</v>
      </c>
      <c r="P27" s="1267">
        <v>-0.1173225</v>
      </c>
      <c r="Q27" s="1267">
        <v>-0.18911690000000003</v>
      </c>
      <c r="R27" s="1267">
        <v>-0.18911690000000003</v>
      </c>
      <c r="S27" s="1267">
        <v>-0.18911690000000003</v>
      </c>
      <c r="T27" s="1267">
        <v>-0.46243171000000016</v>
      </c>
      <c r="U27" s="1267">
        <v>-0.46243171000000016</v>
      </c>
      <c r="V27" s="1267">
        <v>-0.46243171000000016</v>
      </c>
      <c r="W27" s="1267">
        <v>-0.35760464999999997</v>
      </c>
      <c r="X27" s="454"/>
      <c r="Y27" s="1268">
        <f t="shared" si="0"/>
        <v>-0.27051976999999999</v>
      </c>
      <c r="Z27" s="305"/>
      <c r="AA27" s="1269" t="s">
        <v>895</v>
      </c>
      <c r="AB27" s="305"/>
      <c r="AC27" s="1270" t="str">
        <f t="shared" si="2"/>
        <v/>
      </c>
      <c r="AD27" s="1270" t="str">
        <f t="shared" si="2"/>
        <v/>
      </c>
      <c r="AE27" s="1270" t="str">
        <f t="shared" si="2"/>
        <v/>
      </c>
      <c r="AF27" s="1270">
        <f t="shared" si="2"/>
        <v>-0.27051976999999999</v>
      </c>
      <c r="AG27" s="454"/>
      <c r="AH27" s="454"/>
      <c r="AI27" s="1271"/>
    </row>
    <row r="28" spans="1:35">
      <c r="A28" s="1266" t="s">
        <v>2544</v>
      </c>
      <c r="B28" s="1266" t="s">
        <v>2536</v>
      </c>
      <c r="C28" s="1266" t="s">
        <v>2503</v>
      </c>
      <c r="D28" s="460"/>
      <c r="E28" s="1909">
        <v>118168</v>
      </c>
      <c r="F28" s="1909">
        <v>144</v>
      </c>
      <c r="G28" s="1909">
        <v>0</v>
      </c>
      <c r="H28" s="1909" t="s">
        <v>2537</v>
      </c>
      <c r="I28" s="1909">
        <v>904</v>
      </c>
      <c r="J28" s="450"/>
      <c r="K28" s="1267">
        <v>-0.12</v>
      </c>
      <c r="L28" s="1267">
        <v>-0.12</v>
      </c>
      <c r="M28" s="1267">
        <v>-0.12</v>
      </c>
      <c r="N28" s="1267">
        <v>-0.12</v>
      </c>
      <c r="O28" s="1267">
        <v>-0.12</v>
      </c>
      <c r="P28" s="1267">
        <v>-0.12</v>
      </c>
      <c r="Q28" s="1267">
        <v>-0.12</v>
      </c>
      <c r="R28" s="1267">
        <v>-0.12</v>
      </c>
      <c r="S28" s="1267">
        <v>-0.12</v>
      </c>
      <c r="T28" s="1267">
        <v>-0.12</v>
      </c>
      <c r="U28" s="1267">
        <v>-0.11</v>
      </c>
      <c r="V28" s="1267">
        <v>-0.11</v>
      </c>
      <c r="W28" s="1267">
        <v>-0.11</v>
      </c>
      <c r="X28" s="454"/>
      <c r="Y28" s="1268">
        <f t="shared" si="0"/>
        <v>-0.11499999999999999</v>
      </c>
      <c r="Z28" s="305"/>
      <c r="AA28" s="1269" t="s">
        <v>895</v>
      </c>
      <c r="AB28" s="305"/>
      <c r="AC28" s="1270" t="str">
        <f t="shared" si="2"/>
        <v/>
      </c>
      <c r="AD28" s="1270" t="str">
        <f t="shared" si="2"/>
        <v/>
      </c>
      <c r="AE28" s="1270" t="str">
        <f t="shared" si="2"/>
        <v/>
      </c>
      <c r="AF28" s="1270">
        <f t="shared" si="2"/>
        <v>-0.11499999999999999</v>
      </c>
      <c r="AG28" s="454"/>
      <c r="AH28" s="454"/>
      <c r="AI28" s="1271"/>
    </row>
    <row r="29" spans="1:35">
      <c r="A29" s="1266" t="s">
        <v>2545</v>
      </c>
      <c r="B29" s="1266" t="s">
        <v>2536</v>
      </c>
      <c r="C29" s="1266" t="s">
        <v>2503</v>
      </c>
      <c r="D29" s="460"/>
      <c r="E29" s="1909">
        <v>118175</v>
      </c>
      <c r="F29" s="1909">
        <v>144</v>
      </c>
      <c r="G29" s="1909">
        <v>0</v>
      </c>
      <c r="H29" s="1909" t="s">
        <v>2546</v>
      </c>
      <c r="I29" s="1909">
        <v>904</v>
      </c>
      <c r="J29" s="450"/>
      <c r="K29" s="1267">
        <v>-0.13325772</v>
      </c>
      <c r="L29" s="1267">
        <v>-0.13325772</v>
      </c>
      <c r="M29" s="1267">
        <v>-0.13325772</v>
      </c>
      <c r="N29" s="1267">
        <v>-0.13325772</v>
      </c>
      <c r="O29" s="1267">
        <v>-0.13325772</v>
      </c>
      <c r="P29" s="1267">
        <v>-0.13766534</v>
      </c>
      <c r="Q29" s="1267">
        <v>-0.13766534</v>
      </c>
      <c r="R29" s="1267">
        <v>-0.13766534</v>
      </c>
      <c r="S29" s="1267">
        <v>-0.13766534</v>
      </c>
      <c r="T29" s="1267">
        <v>-0.13766534</v>
      </c>
      <c r="U29" s="1267">
        <v>-0.13766534</v>
      </c>
      <c r="V29" s="1267">
        <v>-0.13766534</v>
      </c>
      <c r="W29" s="1267">
        <v>-0.13766534</v>
      </c>
      <c r="X29" s="454"/>
      <c r="Y29" s="1268">
        <f t="shared" si="0"/>
        <v>-0.13546153</v>
      </c>
      <c r="Z29" s="305"/>
      <c r="AA29" s="1269" t="s">
        <v>895</v>
      </c>
      <c r="AB29" s="305"/>
      <c r="AC29" s="1270" t="str">
        <f t="shared" si="2"/>
        <v/>
      </c>
      <c r="AD29" s="1270" t="str">
        <f t="shared" si="2"/>
        <v/>
      </c>
      <c r="AE29" s="1270" t="str">
        <f t="shared" si="2"/>
        <v/>
      </c>
      <c r="AF29" s="1270">
        <f t="shared" si="2"/>
        <v>-0.13546153</v>
      </c>
      <c r="AG29" s="454"/>
      <c r="AH29" s="454"/>
      <c r="AI29" s="1271"/>
    </row>
    <row r="30" spans="1:35">
      <c r="A30" s="1266" t="s">
        <v>2547</v>
      </c>
      <c r="B30" s="1266" t="s">
        <v>2536</v>
      </c>
      <c r="C30" s="1266" t="s">
        <v>2503</v>
      </c>
      <c r="D30" s="460"/>
      <c r="E30" s="1909">
        <v>118176</v>
      </c>
      <c r="F30" s="1909">
        <v>142</v>
      </c>
      <c r="G30" s="1909">
        <v>0</v>
      </c>
      <c r="H30" s="1909" t="s">
        <v>2517</v>
      </c>
      <c r="I30" s="1909">
        <v>456.1</v>
      </c>
      <c r="J30" s="450"/>
      <c r="K30" s="1267">
        <v>-30.441038629999998</v>
      </c>
      <c r="L30" s="1267">
        <v>-30.441038629999998</v>
      </c>
      <c r="M30" s="1267">
        <v>-30.441038629999998</v>
      </c>
      <c r="N30" s="1267">
        <v>-30.441038629999998</v>
      </c>
      <c r="O30" s="1267">
        <v>-30.441038629999998</v>
      </c>
      <c r="P30" s="1267">
        <v>-30.441038629999998</v>
      </c>
      <c r="Q30" s="1267">
        <v>0</v>
      </c>
      <c r="R30" s="1267">
        <v>0</v>
      </c>
      <c r="S30" s="1267">
        <v>0</v>
      </c>
      <c r="T30" s="1267">
        <v>0</v>
      </c>
      <c r="U30" s="1267">
        <v>0</v>
      </c>
      <c r="V30" s="1267">
        <v>0</v>
      </c>
      <c r="W30" s="1267">
        <v>-28.342538860000005</v>
      </c>
      <c r="X30" s="454"/>
      <c r="Y30" s="1268">
        <f t="shared" si="0"/>
        <v>-29.391788744999999</v>
      </c>
      <c r="Z30" s="305"/>
      <c r="AA30" s="1269" t="s">
        <v>895</v>
      </c>
      <c r="AB30" s="305"/>
      <c r="AC30" s="1270" t="str">
        <f t="shared" si="2"/>
        <v/>
      </c>
      <c r="AD30" s="1270" t="str">
        <f t="shared" si="2"/>
        <v/>
      </c>
      <c r="AE30" s="1270" t="str">
        <f t="shared" si="2"/>
        <v/>
      </c>
      <c r="AF30" s="1270">
        <f t="shared" si="2"/>
        <v>-29.391788744999999</v>
      </c>
      <c r="AG30" s="454"/>
      <c r="AH30" s="454"/>
      <c r="AI30" s="1271"/>
    </row>
    <row r="31" spans="1:35">
      <c r="A31" s="1266" t="s">
        <v>2548</v>
      </c>
      <c r="B31" s="1266" t="s">
        <v>2536</v>
      </c>
      <c r="C31" s="1266" t="s">
        <v>2503</v>
      </c>
      <c r="D31" s="460"/>
      <c r="E31" s="1909">
        <v>120930</v>
      </c>
      <c r="F31" s="1909">
        <v>154</v>
      </c>
      <c r="G31" s="1909">
        <v>0</v>
      </c>
      <c r="H31" s="1909" t="s">
        <v>2549</v>
      </c>
      <c r="I31" s="1909" t="s">
        <v>2550</v>
      </c>
      <c r="J31" s="450"/>
      <c r="K31" s="1267">
        <v>-2.1384730000000081E-2</v>
      </c>
      <c r="L31" s="1267">
        <v>-2.1384730000000081E-2</v>
      </c>
      <c r="M31" s="1267">
        <v>-2.1384730000000081E-2</v>
      </c>
      <c r="N31" s="1267">
        <v>-9.8674290000000081E-2</v>
      </c>
      <c r="O31" s="1267">
        <v>-9.8674290000000081E-2</v>
      </c>
      <c r="P31" s="1267">
        <v>-9.8674290000000081E-2</v>
      </c>
      <c r="Q31" s="1267">
        <v>-0.6349533100000001</v>
      </c>
      <c r="R31" s="1267">
        <v>-0.6349533100000001</v>
      </c>
      <c r="S31" s="1267">
        <v>-0.43531470999999999</v>
      </c>
      <c r="T31" s="1267">
        <v>-0.11489186000000004</v>
      </c>
      <c r="U31" s="1267">
        <v>-0.11489186000000004</v>
      </c>
      <c r="V31" s="1267">
        <v>-0.11489186000000004</v>
      </c>
      <c r="W31" s="1267">
        <v>-0.17487501000000003</v>
      </c>
      <c r="X31" s="454"/>
      <c r="Y31" s="1268">
        <f t="shared" si="0"/>
        <v>-9.812987000000005E-2</v>
      </c>
      <c r="Z31" s="305"/>
      <c r="AA31" s="1269" t="s">
        <v>895</v>
      </c>
      <c r="AB31" s="305"/>
      <c r="AC31" s="1270" t="str">
        <f t="shared" si="2"/>
        <v/>
      </c>
      <c r="AD31" s="1270" t="str">
        <f t="shared" si="2"/>
        <v/>
      </c>
      <c r="AE31" s="1270" t="str">
        <f t="shared" si="2"/>
        <v/>
      </c>
      <c r="AF31" s="1270">
        <f t="shared" si="2"/>
        <v>-9.812987000000005E-2</v>
      </c>
      <c r="AG31" s="454"/>
      <c r="AH31" s="454"/>
      <c r="AI31" s="1271"/>
    </row>
    <row r="32" spans="1:35">
      <c r="A32" s="1266" t="s">
        <v>2551</v>
      </c>
      <c r="B32" s="1266" t="s">
        <v>2522</v>
      </c>
      <c r="C32" s="1266" t="s">
        <v>2503</v>
      </c>
      <c r="D32" s="460"/>
      <c r="E32" s="1909">
        <v>120932</v>
      </c>
      <c r="F32" s="1909">
        <v>154</v>
      </c>
      <c r="G32" s="1909">
        <v>0</v>
      </c>
      <c r="H32" s="1909" t="s">
        <v>2552</v>
      </c>
      <c r="I32" s="1909">
        <v>598</v>
      </c>
      <c r="J32" s="450"/>
      <c r="K32" s="1267">
        <v>-1.0370974499999996</v>
      </c>
      <c r="L32" s="1267">
        <v>-1.0364515299999995</v>
      </c>
      <c r="M32" s="1267">
        <v>-1.0446135799999996</v>
      </c>
      <c r="N32" s="1267">
        <v>-1.0435717399999997</v>
      </c>
      <c r="O32" s="1267">
        <v>-1.0457151399999998</v>
      </c>
      <c r="P32" s="1267">
        <v>-1.0496035699999997</v>
      </c>
      <c r="Q32" s="1267">
        <v>-1.0540850099999994</v>
      </c>
      <c r="R32" s="1267">
        <v>-1.0584944799999996</v>
      </c>
      <c r="S32" s="1267">
        <v>-1.0628560899999997</v>
      </c>
      <c r="T32" s="1267">
        <v>-1.0665085799999996</v>
      </c>
      <c r="U32" s="1267">
        <v>-1.0698530999999996</v>
      </c>
      <c r="V32" s="1267">
        <v>-1.0696418499999996</v>
      </c>
      <c r="W32" s="1267">
        <v>-1.0764175399999996</v>
      </c>
      <c r="X32" s="454"/>
      <c r="Y32" s="1268">
        <f t="shared" si="0"/>
        <v>-1.0567574949999996</v>
      </c>
      <c r="Z32" s="305"/>
      <c r="AA32" s="1269" t="s">
        <v>895</v>
      </c>
      <c r="AB32" s="305"/>
      <c r="AC32" s="1270" t="str">
        <f t="shared" si="2"/>
        <v/>
      </c>
      <c r="AD32" s="1270" t="str">
        <f t="shared" si="2"/>
        <v/>
      </c>
      <c r="AE32" s="1270" t="str">
        <f t="shared" si="2"/>
        <v/>
      </c>
      <c r="AF32" s="1270">
        <f t="shared" si="2"/>
        <v>-1.0567574949999996</v>
      </c>
      <c r="AG32" s="454"/>
      <c r="AH32" s="454"/>
      <c r="AI32" s="1271"/>
    </row>
    <row r="33" spans="1:35">
      <c r="A33" s="1266" t="s">
        <v>2553</v>
      </c>
      <c r="B33" s="1266" t="s">
        <v>2554</v>
      </c>
      <c r="C33" s="1266" t="s">
        <v>2503</v>
      </c>
      <c r="D33" s="460"/>
      <c r="E33" s="1909">
        <v>120933</v>
      </c>
      <c r="F33" s="1909">
        <v>154</v>
      </c>
      <c r="G33" s="1909">
        <v>0</v>
      </c>
      <c r="H33" s="1909" t="s">
        <v>2549</v>
      </c>
      <c r="I33" s="1909" t="s">
        <v>2555</v>
      </c>
      <c r="J33" s="450"/>
      <c r="K33" s="1267">
        <v>-0.51499975999999992</v>
      </c>
      <c r="L33" s="1267">
        <v>-0.46005799999999997</v>
      </c>
      <c r="M33" s="1267">
        <v>-0.46005799999999997</v>
      </c>
      <c r="N33" s="1267">
        <v>-0.52769299999999997</v>
      </c>
      <c r="O33" s="1267">
        <v>-0.52769299999999997</v>
      </c>
      <c r="P33" s="1267">
        <v>-0.53014756000000007</v>
      </c>
      <c r="Q33" s="1267">
        <v>-0.52308573000000003</v>
      </c>
      <c r="R33" s="1267">
        <v>-0.53065507000000012</v>
      </c>
      <c r="S33" s="1267">
        <v>-0.54147665</v>
      </c>
      <c r="T33" s="1267">
        <v>-0.54954194000000001</v>
      </c>
      <c r="U33" s="1267">
        <v>-0.54128866000000009</v>
      </c>
      <c r="V33" s="1267">
        <v>-0.55432913000000006</v>
      </c>
      <c r="W33" s="1267">
        <v>-0.56827647999999997</v>
      </c>
      <c r="X33" s="454"/>
      <c r="Y33" s="1268">
        <f t="shared" si="0"/>
        <v>-0.54163812</v>
      </c>
      <c r="Z33" s="305"/>
      <c r="AA33" s="1269" t="s">
        <v>895</v>
      </c>
      <c r="AB33" s="305"/>
      <c r="AC33" s="1270" t="str">
        <f t="shared" si="2"/>
        <v/>
      </c>
      <c r="AD33" s="1270" t="str">
        <f t="shared" si="2"/>
        <v/>
      </c>
      <c r="AE33" s="1270" t="str">
        <f t="shared" si="2"/>
        <v/>
      </c>
      <c r="AF33" s="1270">
        <f t="shared" si="2"/>
        <v>-0.54163812</v>
      </c>
      <c r="AG33" s="454"/>
      <c r="AH33" s="454"/>
      <c r="AI33" s="1271"/>
    </row>
    <row r="34" spans="1:35" ht="24.75" customHeight="1">
      <c r="A34" s="1266" t="s">
        <v>2556</v>
      </c>
      <c r="B34" s="1266" t="s">
        <v>2557</v>
      </c>
      <c r="C34" s="1266" t="s">
        <v>2503</v>
      </c>
      <c r="D34" s="460"/>
      <c r="E34" s="1909">
        <v>148001</v>
      </c>
      <c r="F34" s="1909">
        <v>107</v>
      </c>
      <c r="G34" s="1909">
        <v>0</v>
      </c>
      <c r="H34" s="1909" t="s">
        <v>2558</v>
      </c>
      <c r="I34" s="1909" t="s">
        <v>2559</v>
      </c>
      <c r="J34" s="450"/>
      <c r="K34" s="1267">
        <v>-5.0490000000000004</v>
      </c>
      <c r="L34" s="1267">
        <v>-5.39</v>
      </c>
      <c r="M34" s="1267">
        <v>-5.6</v>
      </c>
      <c r="N34" s="1267">
        <v>-5.875</v>
      </c>
      <c r="O34" s="1267">
        <v>-5.9249999999999998</v>
      </c>
      <c r="P34" s="1267">
        <v>-6.1079999999999997</v>
      </c>
      <c r="Q34" s="1267">
        <v>-6.5330000000000004</v>
      </c>
      <c r="R34" s="1267">
        <v>-6.9909999999999997</v>
      </c>
      <c r="S34" s="1267">
        <v>-7.2549999999999999</v>
      </c>
      <c r="T34" s="1267">
        <v>-5.4630000000000001</v>
      </c>
      <c r="U34" s="1267">
        <v>-5.6970000000000001</v>
      </c>
      <c r="V34" s="1267">
        <v>-5.8140000000000001</v>
      </c>
      <c r="W34" s="1267">
        <v>-11.160373849999999</v>
      </c>
      <c r="X34" s="1509"/>
      <c r="Y34" s="1268">
        <f t="shared" si="0"/>
        <v>-8.1046869249999993</v>
      </c>
      <c r="Z34" s="305"/>
      <c r="AA34" s="1269" t="s">
        <v>895</v>
      </c>
      <c r="AB34" s="305"/>
      <c r="AC34" s="1270" t="str">
        <f t="shared" si="2"/>
        <v/>
      </c>
      <c r="AD34" s="1270" t="str">
        <f t="shared" si="2"/>
        <v/>
      </c>
      <c r="AE34" s="1270" t="str">
        <f t="shared" si="2"/>
        <v/>
      </c>
      <c r="AF34" s="1270">
        <f t="shared" si="2"/>
        <v>-8.1046869249999993</v>
      </c>
      <c r="AG34" s="454"/>
      <c r="AH34" s="454"/>
      <c r="AI34" s="1271"/>
    </row>
    <row r="35" spans="1:35">
      <c r="A35" s="1266"/>
      <c r="B35" s="1266"/>
      <c r="C35" s="1266"/>
      <c r="D35" s="460"/>
      <c r="E35" s="1909"/>
      <c r="F35" s="1909"/>
      <c r="G35" s="1909"/>
      <c r="H35" s="1909"/>
      <c r="I35" s="1909"/>
      <c r="J35" s="450"/>
      <c r="K35" s="1267"/>
      <c r="L35" s="1267"/>
      <c r="M35" s="1267"/>
      <c r="N35" s="1267"/>
      <c r="O35" s="1267"/>
      <c r="P35" s="1267"/>
      <c r="Q35" s="1267"/>
      <c r="R35" s="1267"/>
      <c r="S35" s="1267"/>
      <c r="T35" s="1267"/>
      <c r="U35" s="1267"/>
      <c r="V35" s="1267"/>
      <c r="W35" s="1267"/>
      <c r="X35" s="454"/>
      <c r="Y35" s="1268"/>
      <c r="Z35" s="305"/>
      <c r="AA35" s="1269"/>
      <c r="AB35" s="305"/>
      <c r="AC35" s="1270"/>
      <c r="AD35" s="1270"/>
      <c r="AE35" s="1270"/>
      <c r="AF35" s="1270"/>
      <c r="AG35" s="454"/>
      <c r="AH35" s="454"/>
      <c r="AI35" s="1271"/>
    </row>
    <row r="36" spans="1:35">
      <c r="A36" s="1266" t="s">
        <v>2560</v>
      </c>
      <c r="B36" s="1266" t="s">
        <v>2561</v>
      </c>
      <c r="C36" s="1266" t="s">
        <v>2503</v>
      </c>
      <c r="D36" s="460"/>
      <c r="E36" s="1909">
        <v>162010</v>
      </c>
      <c r="F36" s="1909">
        <v>124</v>
      </c>
      <c r="G36" s="1909">
        <v>0</v>
      </c>
      <c r="H36" s="1909" t="s">
        <v>2537</v>
      </c>
      <c r="I36" s="1909">
        <v>904</v>
      </c>
      <c r="J36" s="450"/>
      <c r="K36" s="1267">
        <v>-0.18418516000000001</v>
      </c>
      <c r="L36" s="1267">
        <v>-0.18418516000000001</v>
      </c>
      <c r="M36" s="1267">
        <v>-0.18418516000000001</v>
      </c>
      <c r="N36" s="1267">
        <v>-0.17989154000000002</v>
      </c>
      <c r="O36" s="1267">
        <v>-0.17989154000000002</v>
      </c>
      <c r="P36" s="1267">
        <v>-0.17989154000000002</v>
      </c>
      <c r="Q36" s="1267">
        <v>-0.17974591000000001</v>
      </c>
      <c r="R36" s="1267">
        <v>-0.17974591000000001</v>
      </c>
      <c r="S36" s="1267">
        <v>-0.17974591000000001</v>
      </c>
      <c r="T36" s="1267">
        <v>-0.17849988</v>
      </c>
      <c r="U36" s="1267">
        <v>-0.17849988</v>
      </c>
      <c r="V36" s="1267">
        <v>-0.17849988</v>
      </c>
      <c r="W36" s="1267">
        <v>-0.1773682</v>
      </c>
      <c r="X36" s="454"/>
      <c r="Y36" s="1268">
        <f t="shared" si="0"/>
        <v>-0.18077668000000002</v>
      </c>
      <c r="Z36" s="305"/>
      <c r="AA36" s="1269" t="s">
        <v>895</v>
      </c>
      <c r="AB36" s="305"/>
      <c r="AC36" s="1270" t="str">
        <f t="shared" si="2"/>
        <v/>
      </c>
      <c r="AD36" s="1270" t="str">
        <f t="shared" si="2"/>
        <v/>
      </c>
      <c r="AE36" s="1270" t="str">
        <f t="shared" si="2"/>
        <v/>
      </c>
      <c r="AF36" s="1270">
        <f t="shared" si="2"/>
        <v>-0.18077668000000002</v>
      </c>
      <c r="AG36" s="454"/>
      <c r="AH36" s="454"/>
      <c r="AI36" s="1271"/>
    </row>
    <row r="37" spans="1:35">
      <c r="A37" s="1266" t="s">
        <v>2562</v>
      </c>
      <c r="B37" s="1266" t="s">
        <v>2519</v>
      </c>
      <c r="C37" s="1266" t="s">
        <v>2503</v>
      </c>
      <c r="D37" s="460"/>
      <c r="E37" s="1909">
        <v>210675</v>
      </c>
      <c r="F37" s="1909">
        <v>232</v>
      </c>
      <c r="G37" s="1909">
        <v>0</v>
      </c>
      <c r="H37" s="1909" t="s">
        <v>2563</v>
      </c>
      <c r="I37" s="1909" t="s">
        <v>2564</v>
      </c>
      <c r="J37" s="450"/>
      <c r="K37" s="1267">
        <v>-4.9013060500000005</v>
      </c>
      <c r="L37" s="1267">
        <v>-5.024138820000001</v>
      </c>
      <c r="M37" s="1267">
        <v>-4.5100717600000007</v>
      </c>
      <c r="N37" s="1267">
        <v>-4.9419925300000012</v>
      </c>
      <c r="O37" s="1267">
        <v>-4.4413331500000011</v>
      </c>
      <c r="P37" s="1267">
        <v>-4.0594841700000011</v>
      </c>
      <c r="Q37" s="1267">
        <v>-5.4979676400000006</v>
      </c>
      <c r="R37" s="1267">
        <v>-5.5264649400000012</v>
      </c>
      <c r="S37" s="1267">
        <v>-4.4851553000000006</v>
      </c>
      <c r="T37" s="1267">
        <v>-4.3694601800000008</v>
      </c>
      <c r="U37" s="1267">
        <v>-3.864930970000001</v>
      </c>
      <c r="V37" s="1267">
        <v>-3.8166630300000008</v>
      </c>
      <c r="W37" s="1267">
        <v>-4.3338472100000009</v>
      </c>
      <c r="X37" s="454"/>
      <c r="Y37" s="1268">
        <f t="shared" si="0"/>
        <v>-4.6175766300000003</v>
      </c>
      <c r="Z37" s="305"/>
      <c r="AA37" s="1269" t="s">
        <v>895</v>
      </c>
      <c r="AB37" s="305"/>
      <c r="AC37" s="1270" t="str">
        <f t="shared" si="2"/>
        <v/>
      </c>
      <c r="AD37" s="1270" t="str">
        <f t="shared" si="2"/>
        <v/>
      </c>
      <c r="AE37" s="1270" t="str">
        <f t="shared" si="2"/>
        <v/>
      </c>
      <c r="AF37" s="1270">
        <f t="shared" si="2"/>
        <v>-4.6175766300000003</v>
      </c>
      <c r="AG37" s="454"/>
      <c r="AH37" s="454"/>
      <c r="AI37" s="1271"/>
    </row>
    <row r="38" spans="1:35">
      <c r="A38" s="1266"/>
      <c r="B38" s="1266"/>
      <c r="C38" s="1266"/>
      <c r="D38" s="460"/>
      <c r="E38" s="1909"/>
      <c r="F38" s="1909"/>
      <c r="G38" s="1909"/>
      <c r="H38" s="1909"/>
      <c r="I38" s="1909"/>
      <c r="J38" s="450"/>
      <c r="K38" s="1267"/>
      <c r="L38" s="1267"/>
      <c r="M38" s="1267"/>
      <c r="N38" s="1267"/>
      <c r="O38" s="1267"/>
      <c r="P38" s="1267"/>
      <c r="Q38" s="1267"/>
      <c r="R38" s="1267"/>
      <c r="S38" s="1267"/>
      <c r="T38" s="1267"/>
      <c r="U38" s="1267"/>
      <c r="V38" s="1267"/>
      <c r="W38" s="1267"/>
      <c r="X38" s="454"/>
      <c r="Y38" s="1268"/>
      <c r="Z38" s="305"/>
      <c r="AA38" s="1269"/>
      <c r="AB38" s="305"/>
      <c r="AC38" s="1270"/>
      <c r="AD38" s="1270"/>
      <c r="AE38" s="1270"/>
      <c r="AF38" s="1270"/>
      <c r="AG38" s="454"/>
      <c r="AH38" s="454"/>
      <c r="AI38" s="1271"/>
    </row>
    <row r="39" spans="1:35">
      <c r="A39" s="1266" t="s">
        <v>2565</v>
      </c>
      <c r="B39" s="1266" t="s">
        <v>2536</v>
      </c>
      <c r="C39" s="1266" t="s">
        <v>2503</v>
      </c>
      <c r="D39" s="460"/>
      <c r="E39" s="1909">
        <v>235190</v>
      </c>
      <c r="F39" s="1909">
        <v>232</v>
      </c>
      <c r="G39" s="1909">
        <v>0</v>
      </c>
      <c r="H39" s="1909" t="s">
        <v>2549</v>
      </c>
      <c r="I39" s="1909" t="s">
        <v>2566</v>
      </c>
      <c r="J39" s="450"/>
      <c r="K39" s="1267">
        <v>-2.4373150899999998</v>
      </c>
      <c r="L39" s="1267">
        <v>-2.4373150899999998</v>
      </c>
      <c r="M39" s="1267">
        <v>-2.4373150899999998</v>
      </c>
      <c r="N39" s="1267">
        <v>-2.4373150899999998</v>
      </c>
      <c r="O39" s="1267">
        <v>-2.4373150899999998</v>
      </c>
      <c r="P39" s="1267">
        <v>-2.4373150899999998</v>
      </c>
      <c r="Q39" s="1267">
        <v>-2.4373150899999998</v>
      </c>
      <c r="R39" s="1267">
        <v>-2.4373150899999998</v>
      </c>
      <c r="S39" s="1267">
        <v>-2.4373150899999998</v>
      </c>
      <c r="T39" s="1267">
        <v>-2.4373150899999998</v>
      </c>
      <c r="U39" s="1267">
        <v>-2.44658161</v>
      </c>
      <c r="V39" s="1267">
        <v>-2.4679418700000002</v>
      </c>
      <c r="W39" s="1267">
        <v>-2.5013152500000002</v>
      </c>
      <c r="X39" s="454"/>
      <c r="Y39" s="1268">
        <f t="shared" si="0"/>
        <v>-2.4693151699999998</v>
      </c>
      <c r="Z39" s="305"/>
      <c r="AA39" s="1269" t="s">
        <v>361</v>
      </c>
      <c r="AB39" s="305"/>
      <c r="AC39" s="1270" t="str">
        <f t="shared" si="2"/>
        <v/>
      </c>
      <c r="AD39" s="1270" t="str">
        <f t="shared" si="2"/>
        <v/>
      </c>
      <c r="AE39" s="1270">
        <f t="shared" si="2"/>
        <v>-2.4693151699999998</v>
      </c>
      <c r="AF39" s="1270" t="str">
        <f t="shared" si="2"/>
        <v/>
      </c>
      <c r="AG39" s="454"/>
      <c r="AH39" s="454"/>
      <c r="AI39" s="1271"/>
    </row>
    <row r="40" spans="1:35">
      <c r="A40" s="1266" t="s">
        <v>2567</v>
      </c>
      <c r="B40" s="1266" t="s">
        <v>2568</v>
      </c>
      <c r="C40" s="1266" t="s">
        <v>2503</v>
      </c>
      <c r="D40" s="460"/>
      <c r="E40" s="1909">
        <v>235510</v>
      </c>
      <c r="F40" s="1909">
        <v>232</v>
      </c>
      <c r="G40" s="1909">
        <v>0</v>
      </c>
      <c r="H40" s="1909" t="s">
        <v>2569</v>
      </c>
      <c r="I40" s="1909" t="s">
        <v>2566</v>
      </c>
      <c r="J40" s="450"/>
      <c r="K40" s="1267">
        <v>-4.6833722699999996</v>
      </c>
      <c r="L40" s="1267">
        <v>-3.1635713299999999</v>
      </c>
      <c r="M40" s="1267">
        <v>-6.3615242900000002</v>
      </c>
      <c r="N40" s="1267">
        <v>-9.5339516700000004</v>
      </c>
      <c r="O40" s="1267">
        <v>-12.552229130000001</v>
      </c>
      <c r="P40" s="1267">
        <v>-15.888427160000001</v>
      </c>
      <c r="Q40" s="1267">
        <v>-19.155147329999998</v>
      </c>
      <c r="R40" s="1267">
        <v>-22.363245559999999</v>
      </c>
      <c r="S40" s="1267">
        <v>-22.400687989999998</v>
      </c>
      <c r="T40" s="1267">
        <v>-26.277089989999997</v>
      </c>
      <c r="U40" s="1267">
        <v>-24.850313019999998</v>
      </c>
      <c r="V40" s="1267">
        <v>-27.402596249999998</v>
      </c>
      <c r="W40" s="1267">
        <v>-5.9718286699999998</v>
      </c>
      <c r="X40" s="454"/>
      <c r="Y40" s="1268">
        <f t="shared" si="0"/>
        <v>-5.3276004700000001</v>
      </c>
      <c r="Z40" s="305"/>
      <c r="AA40" s="1269" t="s">
        <v>361</v>
      </c>
      <c r="AB40" s="305"/>
      <c r="AC40" s="1270" t="str">
        <f t="shared" si="2"/>
        <v/>
      </c>
      <c r="AD40" s="1270" t="str">
        <f t="shared" si="2"/>
        <v/>
      </c>
      <c r="AE40" s="1270">
        <f t="shared" si="2"/>
        <v>-5.3276004700000001</v>
      </c>
      <c r="AF40" s="1270" t="str">
        <f t="shared" si="2"/>
        <v/>
      </c>
      <c r="AG40" s="454"/>
      <c r="AH40" s="454"/>
      <c r="AI40" s="1271"/>
    </row>
    <row r="41" spans="1:35">
      <c r="A41" s="1266" t="s">
        <v>2570</v>
      </c>
      <c r="B41" s="1266" t="s">
        <v>2568</v>
      </c>
      <c r="C41" s="1266" t="s">
        <v>2503</v>
      </c>
      <c r="D41" s="460"/>
      <c r="E41" s="1909">
        <v>215078</v>
      </c>
      <c r="F41" s="1909">
        <v>232</v>
      </c>
      <c r="G41" s="1909">
        <v>0</v>
      </c>
      <c r="H41" s="1909" t="s">
        <v>2571</v>
      </c>
      <c r="I41" s="1909" t="s">
        <v>2566</v>
      </c>
      <c r="J41" s="450"/>
      <c r="K41" s="1267">
        <v>-3.0683759999999997E-2</v>
      </c>
      <c r="L41" s="1267">
        <v>-0.23897122000000001</v>
      </c>
      <c r="M41" s="1267">
        <v>-0.12583430000000001</v>
      </c>
      <c r="N41" s="1267">
        <v>-0.12962940000000001</v>
      </c>
      <c r="O41" s="1267">
        <v>-0.12329105</v>
      </c>
      <c r="P41" s="1267">
        <v>-4.410646E-2</v>
      </c>
      <c r="Q41" s="1267">
        <v>-0.13530264</v>
      </c>
      <c r="R41" s="1267">
        <v>-0.18506876999999999</v>
      </c>
      <c r="S41" s="1267">
        <v>-4.360261E-2</v>
      </c>
      <c r="T41" s="1267">
        <v>-0.12524527999999999</v>
      </c>
      <c r="U41" s="1267">
        <v>-0.15172254000000002</v>
      </c>
      <c r="V41" s="1267">
        <v>-0.16497991000000001</v>
      </c>
      <c r="W41" s="1267">
        <v>-3.5530519999999996E-2</v>
      </c>
      <c r="X41" s="454"/>
      <c r="Y41" s="1268">
        <f t="shared" si="0"/>
        <v>-3.3107139999999993E-2</v>
      </c>
      <c r="Z41" s="305"/>
      <c r="AA41" s="1269" t="s">
        <v>361</v>
      </c>
      <c r="AB41" s="305"/>
      <c r="AC41" s="1270" t="str">
        <f t="shared" si="2"/>
        <v/>
      </c>
      <c r="AD41" s="1270" t="str">
        <f t="shared" si="2"/>
        <v/>
      </c>
      <c r="AE41" s="1270">
        <f t="shared" si="2"/>
        <v>-3.3107139999999993E-2</v>
      </c>
      <c r="AF41" s="1270" t="str">
        <f t="shared" si="2"/>
        <v/>
      </c>
      <c r="AG41" s="454"/>
      <c r="AH41" s="454"/>
      <c r="AI41" s="1271"/>
    </row>
    <row r="42" spans="1:35">
      <c r="A42" s="1266" t="s">
        <v>2572</v>
      </c>
      <c r="B42" s="1266" t="s">
        <v>2568</v>
      </c>
      <c r="C42" s="1266" t="s">
        <v>2503</v>
      </c>
      <c r="D42" s="460"/>
      <c r="E42" s="1909">
        <v>235599</v>
      </c>
      <c r="F42" s="1909">
        <v>232</v>
      </c>
      <c r="G42" s="1909">
        <v>0</v>
      </c>
      <c r="H42" s="1909" t="s">
        <v>2573</v>
      </c>
      <c r="I42" s="1909" t="s">
        <v>2566</v>
      </c>
      <c r="J42" s="450"/>
      <c r="K42" s="1267">
        <v>-1.20825</v>
      </c>
      <c r="L42" s="1267">
        <v>-0.20412504000000001</v>
      </c>
      <c r="M42" s="1267">
        <v>-0.40699994</v>
      </c>
      <c r="N42" s="1267">
        <v>-0.60899999999999999</v>
      </c>
      <c r="O42" s="1267">
        <v>-0.81683338999999999</v>
      </c>
      <c r="P42" s="1267">
        <v>-1.0258332800000001</v>
      </c>
      <c r="Q42" s="1267">
        <v>-1.22675</v>
      </c>
      <c r="R42" s="1267">
        <v>-1.4294583999999999</v>
      </c>
      <c r="S42" s="1267">
        <v>-1.6356666100000001</v>
      </c>
      <c r="T42" s="1267">
        <v>-1.850625</v>
      </c>
      <c r="U42" s="1267">
        <v>0</v>
      </c>
      <c r="V42" s="1267">
        <v>0</v>
      </c>
      <c r="W42" s="1267">
        <v>0</v>
      </c>
      <c r="X42" s="454"/>
      <c r="Y42" s="1268">
        <f t="shared" si="0"/>
        <v>-0.60412500000000002</v>
      </c>
      <c r="Z42" s="305"/>
      <c r="AA42" s="1269" t="s">
        <v>361</v>
      </c>
      <c r="AB42" s="305"/>
      <c r="AC42" s="1270" t="str">
        <f t="shared" si="2"/>
        <v/>
      </c>
      <c r="AD42" s="1270" t="str">
        <f t="shared" si="2"/>
        <v/>
      </c>
      <c r="AE42" s="1270">
        <f t="shared" si="2"/>
        <v>-0.60412500000000002</v>
      </c>
      <c r="AF42" s="1270" t="str">
        <f t="shared" si="2"/>
        <v/>
      </c>
      <c r="AG42" s="454"/>
      <c r="AH42" s="454"/>
      <c r="AI42" s="1271"/>
    </row>
    <row r="43" spans="1:35">
      <c r="A43" s="1266"/>
      <c r="B43" s="1266"/>
      <c r="C43" s="1266"/>
      <c r="D43" s="460"/>
      <c r="E43" s="1909"/>
      <c r="F43" s="1909"/>
      <c r="G43" s="1909"/>
      <c r="H43" s="1909"/>
      <c r="I43" s="1909"/>
      <c r="J43" s="450"/>
      <c r="K43" s="1267"/>
      <c r="L43" s="1267"/>
      <c r="M43" s="1267"/>
      <c r="N43" s="1267"/>
      <c r="O43" s="1267"/>
      <c r="P43" s="1267"/>
      <c r="Q43" s="1267"/>
      <c r="R43" s="1267"/>
      <c r="S43" s="1267"/>
      <c r="T43" s="1267"/>
      <c r="U43" s="1267"/>
      <c r="V43" s="1267"/>
      <c r="W43" s="1267"/>
      <c r="X43" s="454"/>
      <c r="Y43" s="1268"/>
      <c r="Z43" s="305"/>
      <c r="AA43" s="1269"/>
      <c r="AB43" s="305"/>
      <c r="AC43" s="1270"/>
      <c r="AD43" s="1270"/>
      <c r="AE43" s="1270"/>
      <c r="AF43" s="1270"/>
      <c r="AG43" s="454"/>
      <c r="AH43" s="454"/>
      <c r="AI43" s="1271"/>
    </row>
    <row r="44" spans="1:35">
      <c r="A44" s="1266" t="s">
        <v>2574</v>
      </c>
      <c r="B44" s="1266" t="s">
        <v>2575</v>
      </c>
      <c r="C44" s="1266" t="s">
        <v>2503</v>
      </c>
      <c r="D44" s="460"/>
      <c r="E44" s="1909">
        <v>248181</v>
      </c>
      <c r="F44" s="1909">
        <v>242</v>
      </c>
      <c r="G44" s="1909">
        <v>0</v>
      </c>
      <c r="H44" s="1909" t="s">
        <v>2576</v>
      </c>
      <c r="I44" s="1909" t="s">
        <v>2566</v>
      </c>
      <c r="J44" s="450"/>
      <c r="K44" s="1267">
        <v>-5.82505849</v>
      </c>
      <c r="L44" s="1267">
        <v>-6.5445675699999999</v>
      </c>
      <c r="M44" s="1267">
        <v>-6.5533357199999998</v>
      </c>
      <c r="N44" s="1267">
        <v>0</v>
      </c>
      <c r="O44" s="1267">
        <v>0</v>
      </c>
      <c r="P44" s="1267">
        <v>0</v>
      </c>
      <c r="Q44" s="1267">
        <v>0</v>
      </c>
      <c r="R44" s="1267">
        <v>0</v>
      </c>
      <c r="S44" s="1267">
        <v>0</v>
      </c>
      <c r="T44" s="1267">
        <v>0</v>
      </c>
      <c r="U44" s="1267">
        <v>0</v>
      </c>
      <c r="V44" s="1267">
        <v>0</v>
      </c>
      <c r="W44" s="1267">
        <v>0</v>
      </c>
      <c r="X44" s="454"/>
      <c r="Y44" s="1268">
        <f t="shared" si="0"/>
        <v>-2.912529245</v>
      </c>
      <c r="Z44" s="305"/>
      <c r="AA44" s="1269" t="s">
        <v>361</v>
      </c>
      <c r="AB44" s="305"/>
      <c r="AC44" s="1270" t="str">
        <f t="shared" si="2"/>
        <v/>
      </c>
      <c r="AD44" s="1270" t="str">
        <f t="shared" si="2"/>
        <v/>
      </c>
      <c r="AE44" s="1270">
        <f t="shared" si="2"/>
        <v>-2.912529245</v>
      </c>
      <c r="AF44" s="1270" t="str">
        <f t="shared" si="2"/>
        <v/>
      </c>
      <c r="AG44" s="454"/>
      <c r="AH44" s="454"/>
      <c r="AI44" s="1271"/>
    </row>
    <row r="45" spans="1:35">
      <c r="A45" s="1266" t="s">
        <v>2577</v>
      </c>
      <c r="B45" s="1266" t="s">
        <v>2575</v>
      </c>
      <c r="C45" s="1266" t="s">
        <v>2503</v>
      </c>
      <c r="D45" s="460"/>
      <c r="E45" s="1909">
        <v>248182</v>
      </c>
      <c r="F45" s="1909">
        <v>242</v>
      </c>
      <c r="G45" s="1909">
        <v>0</v>
      </c>
      <c r="H45" s="1909" t="s">
        <v>2578</v>
      </c>
      <c r="I45" s="1909" t="s">
        <v>2566</v>
      </c>
      <c r="J45" s="450"/>
      <c r="K45" s="1267">
        <v>-2.35289159</v>
      </c>
      <c r="L45" s="1267">
        <v>-1.74261274</v>
      </c>
      <c r="M45" s="1267">
        <v>-1.7542632900000001</v>
      </c>
      <c r="N45" s="1267">
        <v>-1.7542632900000001</v>
      </c>
      <c r="O45" s="1267">
        <v>-2.6696921200000001</v>
      </c>
      <c r="P45" s="1267">
        <v>-2.7121905099999997</v>
      </c>
      <c r="Q45" s="1267">
        <v>-2.6950277099999997</v>
      </c>
      <c r="R45" s="1267">
        <v>-2.7103470600000001</v>
      </c>
      <c r="S45" s="1267">
        <v>-2.6716571899999999</v>
      </c>
      <c r="T45" s="1267">
        <v>-2.6193915400000001</v>
      </c>
      <c r="U45" s="1267">
        <v>-2.5765987799999999</v>
      </c>
      <c r="V45" s="1267">
        <v>-2.5297759800000001</v>
      </c>
      <c r="W45" s="1267">
        <v>-2.3240331400000001</v>
      </c>
      <c r="X45" s="454"/>
      <c r="Y45" s="1268">
        <f t="shared" si="0"/>
        <v>-2.3384623649999998</v>
      </c>
      <c r="Z45" s="305"/>
      <c r="AA45" s="1269" t="s">
        <v>361</v>
      </c>
      <c r="AB45" s="305"/>
      <c r="AC45" s="1270" t="str">
        <f t="shared" si="2"/>
        <v/>
      </c>
      <c r="AD45" s="1270" t="str">
        <f t="shared" si="2"/>
        <v/>
      </c>
      <c r="AE45" s="1270">
        <f t="shared" si="2"/>
        <v>-2.3384623649999998</v>
      </c>
      <c r="AF45" s="1270" t="str">
        <f t="shared" si="2"/>
        <v/>
      </c>
      <c r="AG45" s="454"/>
      <c r="AH45" s="454"/>
      <c r="AI45" s="1271"/>
    </row>
    <row r="46" spans="1:35">
      <c r="A46" s="1266" t="s">
        <v>2579</v>
      </c>
      <c r="B46" s="1266" t="s">
        <v>2575</v>
      </c>
      <c r="C46" s="1266" t="s">
        <v>2503</v>
      </c>
      <c r="D46" s="460"/>
      <c r="E46" s="1909">
        <v>248183</v>
      </c>
      <c r="F46" s="1909">
        <v>242</v>
      </c>
      <c r="G46" s="1909">
        <v>0</v>
      </c>
      <c r="H46" s="1909" t="s">
        <v>2580</v>
      </c>
      <c r="I46" s="1909" t="s">
        <v>2566</v>
      </c>
      <c r="J46" s="450"/>
      <c r="K46" s="1267">
        <v>-2.47956442</v>
      </c>
      <c r="L46" s="1267">
        <v>-1.9384361699999999</v>
      </c>
      <c r="M46" s="1267">
        <v>-1.9583912800000001</v>
      </c>
      <c r="N46" s="1267">
        <v>-1.9583912800000001</v>
      </c>
      <c r="O46" s="1267">
        <v>-2.7539565399999999</v>
      </c>
      <c r="P46" s="1267">
        <v>-2.90874948</v>
      </c>
      <c r="Q46" s="1267">
        <v>-2.9689469100000001</v>
      </c>
      <c r="R46" s="1267">
        <v>-2.9413197100000001</v>
      </c>
      <c r="S46" s="1267">
        <v>-2.8863211600000001</v>
      </c>
      <c r="T46" s="1267">
        <v>-2.82530736</v>
      </c>
      <c r="U46" s="1267">
        <v>-2.7663211599999999</v>
      </c>
      <c r="V46" s="1267">
        <v>-2.7694318399999998</v>
      </c>
      <c r="W46" s="1267">
        <v>-2.7164758399999998</v>
      </c>
      <c r="X46" s="454"/>
      <c r="Y46" s="1268">
        <f t="shared" si="0"/>
        <v>-2.5980201300000001</v>
      </c>
      <c r="Z46" s="305"/>
      <c r="AA46" s="1269" t="s">
        <v>361</v>
      </c>
      <c r="AB46" s="305"/>
      <c r="AC46" s="1270" t="str">
        <f t="shared" si="2"/>
        <v/>
      </c>
      <c r="AD46" s="1270" t="str">
        <f t="shared" si="2"/>
        <v/>
      </c>
      <c r="AE46" s="1270">
        <f t="shared" si="2"/>
        <v>-2.5980201300000001</v>
      </c>
      <c r="AF46" s="1270" t="str">
        <f t="shared" si="2"/>
        <v/>
      </c>
      <c r="AG46" s="454"/>
      <c r="AH46" s="454"/>
      <c r="AI46" s="1271"/>
    </row>
    <row r="47" spans="1:35">
      <c r="A47" s="1266" t="s">
        <v>2581</v>
      </c>
      <c r="B47" s="1266" t="s">
        <v>2575</v>
      </c>
      <c r="C47" s="1266" t="s">
        <v>2503</v>
      </c>
      <c r="D47" s="460"/>
      <c r="E47" s="1909">
        <v>248185</v>
      </c>
      <c r="F47" s="1909">
        <v>242</v>
      </c>
      <c r="G47" s="1909">
        <v>0</v>
      </c>
      <c r="H47" s="1909" t="s">
        <v>2576</v>
      </c>
      <c r="I47" s="1909" t="s">
        <v>2566</v>
      </c>
      <c r="J47" s="450"/>
      <c r="K47" s="1267">
        <v>-0.11109328</v>
      </c>
      <c r="L47" s="1267">
        <v>-0.10876013000000001</v>
      </c>
      <c r="M47" s="1267">
        <v>-0.10948577000000001</v>
      </c>
      <c r="N47" s="1267">
        <v>-0.10948577000000001</v>
      </c>
      <c r="O47" s="1267">
        <v>-0.12582516999999999</v>
      </c>
      <c r="P47" s="1267">
        <v>-0.12093438000000001</v>
      </c>
      <c r="Q47" s="1267">
        <v>-0.12889882</v>
      </c>
      <c r="R47" s="1267">
        <v>-0.13058892999999999</v>
      </c>
      <c r="S47" s="1267">
        <v>-0.1368036</v>
      </c>
      <c r="T47" s="1267">
        <v>-0.11194108999999999</v>
      </c>
      <c r="U47" s="1267">
        <v>-0.10926569</v>
      </c>
      <c r="V47" s="1267">
        <v>-0.11032122</v>
      </c>
      <c r="W47" s="1267">
        <v>-0.10439488000000001</v>
      </c>
      <c r="X47" s="454"/>
      <c r="Y47" s="1268">
        <f t="shared" si="0"/>
        <v>-0.10774408000000001</v>
      </c>
      <c r="Z47" s="305"/>
      <c r="AA47" s="1269" t="s">
        <v>361</v>
      </c>
      <c r="AB47" s="305"/>
      <c r="AC47" s="1270" t="str">
        <f t="shared" si="2"/>
        <v/>
      </c>
      <c r="AD47" s="1270" t="str">
        <f t="shared" si="2"/>
        <v/>
      </c>
      <c r="AE47" s="1270">
        <f t="shared" si="2"/>
        <v>-0.10774408000000001</v>
      </c>
      <c r="AF47" s="1270" t="str">
        <f t="shared" si="2"/>
        <v/>
      </c>
      <c r="AG47" s="454"/>
      <c r="AH47" s="454"/>
      <c r="AI47" s="1271"/>
    </row>
    <row r="48" spans="1:35">
      <c r="A48" s="1266" t="s">
        <v>2582</v>
      </c>
      <c r="B48" s="1266" t="s">
        <v>2575</v>
      </c>
      <c r="C48" s="1266" t="s">
        <v>2503</v>
      </c>
      <c r="D48" s="460"/>
      <c r="E48" s="1909">
        <v>248186</v>
      </c>
      <c r="F48" s="1909">
        <v>242</v>
      </c>
      <c r="G48" s="1909">
        <v>0</v>
      </c>
      <c r="H48" s="1909" t="s">
        <v>2576</v>
      </c>
      <c r="I48" s="1909" t="s">
        <v>2566</v>
      </c>
      <c r="J48" s="450"/>
      <c r="K48" s="1267">
        <v>-2.324648E-2</v>
      </c>
      <c r="L48" s="1267">
        <v>-3.547985E-2</v>
      </c>
      <c r="M48" s="1267">
        <v>-7.6478500000000005E-2</v>
      </c>
      <c r="N48" s="1267">
        <v>-7.6478500000000005E-2</v>
      </c>
      <c r="O48" s="1267">
        <v>-8.2436960000000004E-2</v>
      </c>
      <c r="P48" s="1267">
        <v>-8.5606320000000014E-2</v>
      </c>
      <c r="Q48" s="1267">
        <v>-8.6843710000000005E-2</v>
      </c>
      <c r="R48" s="1267">
        <v>-8.4862899999999991E-2</v>
      </c>
      <c r="S48" s="1267">
        <v>-8.6612830000000002E-2</v>
      </c>
      <c r="T48" s="1267">
        <v>-8.5362529999999992E-2</v>
      </c>
      <c r="U48" s="1267">
        <v>-8.3305600000000007E-2</v>
      </c>
      <c r="V48" s="1267">
        <v>-7.9753309999999994E-2</v>
      </c>
      <c r="W48" s="1267">
        <v>-8.1452049999999998E-2</v>
      </c>
      <c r="X48" s="454"/>
      <c r="Y48" s="1268">
        <f t="shared" si="0"/>
        <v>-5.2349264999999999E-2</v>
      </c>
      <c r="Z48" s="305"/>
      <c r="AA48" s="1269" t="s">
        <v>361</v>
      </c>
      <c r="AB48" s="305"/>
      <c r="AC48" s="1270" t="str">
        <f t="shared" si="2"/>
        <v/>
      </c>
      <c r="AD48" s="1270" t="str">
        <f t="shared" si="2"/>
        <v/>
      </c>
      <c r="AE48" s="1270">
        <f t="shared" si="2"/>
        <v>-5.2349264999999999E-2</v>
      </c>
      <c r="AF48" s="1270" t="str">
        <f t="shared" si="2"/>
        <v/>
      </c>
      <c r="AG48" s="454"/>
      <c r="AH48" s="454"/>
      <c r="AI48" s="1271"/>
    </row>
    <row r="49" spans="1:35">
      <c r="A49" s="1266" t="s">
        <v>2583</v>
      </c>
      <c r="B49" s="1266" t="s">
        <v>2575</v>
      </c>
      <c r="C49" s="1266" t="s">
        <v>2503</v>
      </c>
      <c r="D49" s="460"/>
      <c r="E49" s="1909">
        <v>248187</v>
      </c>
      <c r="F49" s="1909">
        <v>242</v>
      </c>
      <c r="G49" s="1909">
        <v>0</v>
      </c>
      <c r="H49" s="1909" t="s">
        <v>2584</v>
      </c>
      <c r="I49" s="1909" t="s">
        <v>2566</v>
      </c>
      <c r="J49" s="450"/>
      <c r="K49" s="1267">
        <v>-3.1794737799999999</v>
      </c>
      <c r="L49" s="1267">
        <v>-2.94761177</v>
      </c>
      <c r="M49" s="1267">
        <v>-2.9636967799999998</v>
      </c>
      <c r="N49" s="1267">
        <v>-2.9636967799999998</v>
      </c>
      <c r="O49" s="1267">
        <v>-3.7878333900000003</v>
      </c>
      <c r="P49" s="1267">
        <v>-3.8494829400000001</v>
      </c>
      <c r="Q49" s="1267">
        <v>-3.84781445</v>
      </c>
      <c r="R49" s="1267">
        <v>-3.6755308799999997</v>
      </c>
      <c r="S49" s="1267">
        <v>-3.6083978299999999</v>
      </c>
      <c r="T49" s="1267">
        <v>-3.67886136</v>
      </c>
      <c r="U49" s="1267">
        <v>-3.5608527799999998</v>
      </c>
      <c r="V49" s="1267">
        <v>-3.7709968300000001</v>
      </c>
      <c r="W49" s="1267">
        <v>-3.5970167900000001</v>
      </c>
      <c r="X49" s="454"/>
      <c r="Y49" s="1268">
        <f t="shared" si="0"/>
        <v>-3.388245285</v>
      </c>
      <c r="Z49" s="305"/>
      <c r="AA49" s="1269" t="s">
        <v>361</v>
      </c>
      <c r="AB49" s="305"/>
      <c r="AC49" s="1270" t="str">
        <f t="shared" si="2"/>
        <v/>
      </c>
      <c r="AD49" s="1270" t="str">
        <f t="shared" si="2"/>
        <v/>
      </c>
      <c r="AE49" s="1270">
        <f t="shared" si="2"/>
        <v>-3.388245285</v>
      </c>
      <c r="AF49" s="1270" t="str">
        <f t="shared" si="2"/>
        <v/>
      </c>
      <c r="AG49" s="454"/>
      <c r="AH49" s="454"/>
      <c r="AI49" s="1271"/>
    </row>
    <row r="50" spans="1:35">
      <c r="A50" s="1266" t="s">
        <v>2585</v>
      </c>
      <c r="B50" s="1266" t="s">
        <v>2575</v>
      </c>
      <c r="C50" s="1266" t="s">
        <v>2503</v>
      </c>
      <c r="D50" s="460"/>
      <c r="E50" s="1909">
        <v>248188</v>
      </c>
      <c r="F50" s="1909">
        <v>242</v>
      </c>
      <c r="G50" s="1909">
        <v>0</v>
      </c>
      <c r="H50" s="1909" t="s">
        <v>2586</v>
      </c>
      <c r="I50" s="1909" t="s">
        <v>2566</v>
      </c>
      <c r="J50" s="450"/>
      <c r="K50" s="1267">
        <v>-0.25057183</v>
      </c>
      <c r="L50" s="1267">
        <v>-0.23074235999999998</v>
      </c>
      <c r="M50" s="1267">
        <v>-0.23211301000000001</v>
      </c>
      <c r="N50" s="1267">
        <v>-0.23211301000000001</v>
      </c>
      <c r="O50" s="1267">
        <v>-0.28944230999999998</v>
      </c>
      <c r="P50" s="1267">
        <v>-0.29958498</v>
      </c>
      <c r="Q50" s="1267">
        <v>-0.26648703999999995</v>
      </c>
      <c r="R50" s="1267">
        <v>-0.26451432000000002</v>
      </c>
      <c r="S50" s="1267">
        <v>-0.26927243000000001</v>
      </c>
      <c r="T50" s="1267">
        <v>-0.27704335999999996</v>
      </c>
      <c r="U50" s="1267">
        <v>-0.27398540999999998</v>
      </c>
      <c r="V50" s="1267">
        <v>-0.26503316999999998</v>
      </c>
      <c r="W50" s="1267">
        <v>-0.24403543999999999</v>
      </c>
      <c r="X50" s="454"/>
      <c r="Y50" s="1268">
        <f t="shared" si="0"/>
        <v>-0.24730363499999999</v>
      </c>
      <c r="Z50" s="305"/>
      <c r="AA50" s="1269" t="s">
        <v>361</v>
      </c>
      <c r="AB50" s="305"/>
      <c r="AC50" s="1270" t="str">
        <f t="shared" si="2"/>
        <v/>
      </c>
      <c r="AD50" s="1270" t="str">
        <f t="shared" si="2"/>
        <v/>
      </c>
      <c r="AE50" s="1270">
        <f t="shared" si="2"/>
        <v>-0.24730363499999999</v>
      </c>
      <c r="AF50" s="1270" t="str">
        <f t="shared" si="2"/>
        <v/>
      </c>
      <c r="AG50" s="454"/>
      <c r="AH50" s="454"/>
      <c r="AI50" s="1271"/>
    </row>
    <row r="51" spans="1:35">
      <c r="A51" s="1266" t="s">
        <v>2587</v>
      </c>
      <c r="B51" s="1266" t="s">
        <v>2575</v>
      </c>
      <c r="C51" s="1266" t="s">
        <v>2503</v>
      </c>
      <c r="D51" s="460"/>
      <c r="E51" s="1909">
        <v>248189</v>
      </c>
      <c r="F51" s="1909">
        <v>242</v>
      </c>
      <c r="G51" s="1909">
        <v>0</v>
      </c>
      <c r="H51" s="1909" t="s">
        <v>2588</v>
      </c>
      <c r="I51" s="1909" t="s">
        <v>2566</v>
      </c>
      <c r="J51" s="450"/>
      <c r="K51" s="1267">
        <v>-19.00242162</v>
      </c>
      <c r="L51" s="1267">
        <v>-19.89168944</v>
      </c>
      <c r="M51" s="1267">
        <v>-19.972477340000001</v>
      </c>
      <c r="N51" s="1267">
        <v>-19.972477340000001</v>
      </c>
      <c r="O51" s="1267">
        <v>-19.845695510000002</v>
      </c>
      <c r="P51" s="1267">
        <v>-19.92447482</v>
      </c>
      <c r="Q51" s="1267">
        <v>-19.932864579999997</v>
      </c>
      <c r="R51" s="1267">
        <v>-19.651531460000001</v>
      </c>
      <c r="S51" s="1267">
        <v>-19.522189019999999</v>
      </c>
      <c r="T51" s="1267">
        <v>-19.559282289999999</v>
      </c>
      <c r="U51" s="1267">
        <v>-19.598124600000002</v>
      </c>
      <c r="V51" s="1267">
        <v>-19.852994890000002</v>
      </c>
      <c r="W51" s="1267">
        <v>-19.516007859999998</v>
      </c>
      <c r="X51" s="454"/>
      <c r="Y51" s="1268">
        <f t="shared" si="0"/>
        <v>-19.259214739999997</v>
      </c>
      <c r="Z51" s="305"/>
      <c r="AA51" s="1269" t="s">
        <v>361</v>
      </c>
      <c r="AB51" s="305"/>
      <c r="AC51" s="1270" t="str">
        <f t="shared" si="2"/>
        <v/>
      </c>
      <c r="AD51" s="1270" t="str">
        <f t="shared" si="2"/>
        <v/>
      </c>
      <c r="AE51" s="1270">
        <f t="shared" si="2"/>
        <v>-19.259214739999997</v>
      </c>
      <c r="AF51" s="1270" t="str">
        <f t="shared" si="2"/>
        <v/>
      </c>
      <c r="AG51" s="454"/>
      <c r="AH51" s="454"/>
      <c r="AI51" s="1271"/>
    </row>
    <row r="52" spans="1:35">
      <c r="A52" s="1266" t="s">
        <v>2589</v>
      </c>
      <c r="B52" s="1266" t="s">
        <v>2575</v>
      </c>
      <c r="C52" s="1266" t="s">
        <v>2503</v>
      </c>
      <c r="D52" s="460"/>
      <c r="E52" s="1909">
        <v>248190</v>
      </c>
      <c r="F52" s="1909">
        <v>242</v>
      </c>
      <c r="G52" s="1909">
        <v>0</v>
      </c>
      <c r="H52" s="1909" t="s">
        <v>2576</v>
      </c>
      <c r="I52" s="1909" t="s">
        <v>2566</v>
      </c>
      <c r="J52" s="450"/>
      <c r="K52" s="1267">
        <v>0</v>
      </c>
      <c r="L52" s="1267">
        <v>0</v>
      </c>
      <c r="M52" s="1267">
        <v>0</v>
      </c>
      <c r="N52" s="1267">
        <v>-12.088010990000001</v>
      </c>
      <c r="O52" s="1267">
        <v>-11.3072476</v>
      </c>
      <c r="P52" s="1267">
        <v>-11.37081579</v>
      </c>
      <c r="Q52" s="1267">
        <v>-11.285750090000001</v>
      </c>
      <c r="R52" s="1267">
        <v>-11.117972480000001</v>
      </c>
      <c r="S52" s="1267">
        <v>-11.04018982</v>
      </c>
      <c r="T52" s="1267">
        <v>-10.98854817</v>
      </c>
      <c r="U52" s="1267">
        <v>-10.834263060000001</v>
      </c>
      <c r="V52" s="1267">
        <v>-10.905370250000001</v>
      </c>
      <c r="W52" s="1267">
        <v>-10.75433969</v>
      </c>
      <c r="X52" s="454"/>
      <c r="Y52" s="1268">
        <f t="shared" si="0"/>
        <v>-5.3771698450000001</v>
      </c>
      <c r="Z52" s="305"/>
      <c r="AA52" s="1269" t="s">
        <v>361</v>
      </c>
      <c r="AB52" s="305"/>
      <c r="AC52" s="1270" t="str">
        <f t="shared" si="2"/>
        <v/>
      </c>
      <c r="AD52" s="1270" t="str">
        <f t="shared" si="2"/>
        <v/>
      </c>
      <c r="AE52" s="1270">
        <f t="shared" si="2"/>
        <v>-5.3771698450000001</v>
      </c>
      <c r="AF52" s="1270" t="str">
        <f t="shared" si="2"/>
        <v/>
      </c>
      <c r="AG52" s="454"/>
      <c r="AH52" s="454"/>
      <c r="AI52" s="1271"/>
    </row>
    <row r="53" spans="1:35">
      <c r="A53" s="1266" t="s">
        <v>2590</v>
      </c>
      <c r="B53" s="1266" t="s">
        <v>2575</v>
      </c>
      <c r="C53" s="1266" t="s">
        <v>2503</v>
      </c>
      <c r="D53" s="460"/>
      <c r="E53" s="1909">
        <v>248195</v>
      </c>
      <c r="F53" s="1909">
        <v>242</v>
      </c>
      <c r="G53" s="1909">
        <v>0</v>
      </c>
      <c r="H53" s="1909" t="s">
        <v>2576</v>
      </c>
      <c r="I53" s="1909" t="s">
        <v>2566</v>
      </c>
      <c r="J53" s="450"/>
      <c r="K53" s="1267">
        <v>-5.4137715599999998</v>
      </c>
      <c r="L53" s="1267">
        <v>-5.5259071200000003</v>
      </c>
      <c r="M53" s="1267">
        <v>-5.5346752699999993</v>
      </c>
      <c r="N53" s="1267">
        <v>0</v>
      </c>
      <c r="O53" s="1267">
        <v>0</v>
      </c>
      <c r="P53" s="1267">
        <v>0</v>
      </c>
      <c r="Q53" s="1267">
        <v>0</v>
      </c>
      <c r="R53" s="1267">
        <v>0</v>
      </c>
      <c r="S53" s="1267">
        <v>0</v>
      </c>
      <c r="T53" s="1267">
        <v>0</v>
      </c>
      <c r="U53" s="1267">
        <v>0</v>
      </c>
      <c r="V53" s="1267">
        <v>0</v>
      </c>
      <c r="W53" s="1267">
        <v>0</v>
      </c>
      <c r="X53" s="454"/>
      <c r="Y53" s="1268">
        <f t="shared" si="0"/>
        <v>-2.7068857799999999</v>
      </c>
      <c r="Z53" s="305"/>
      <c r="AA53" s="1269" t="s">
        <v>361</v>
      </c>
      <c r="AB53" s="305"/>
      <c r="AC53" s="1270" t="str">
        <f t="shared" si="2"/>
        <v/>
      </c>
      <c r="AD53" s="1270" t="str">
        <f t="shared" si="2"/>
        <v/>
      </c>
      <c r="AE53" s="1270">
        <f t="shared" si="2"/>
        <v>-2.7068857799999999</v>
      </c>
      <c r="AF53" s="1270" t="str">
        <f t="shared" si="2"/>
        <v/>
      </c>
      <c r="AG53" s="454"/>
      <c r="AH53" s="454"/>
      <c r="AI53" s="1271"/>
    </row>
    <row r="54" spans="1:35">
      <c r="A54" s="1266" t="s">
        <v>2591</v>
      </c>
      <c r="B54" s="1266" t="s">
        <v>2592</v>
      </c>
      <c r="C54" s="1266" t="s">
        <v>2503</v>
      </c>
      <c r="D54" s="460"/>
      <c r="E54" s="1909">
        <v>280349</v>
      </c>
      <c r="F54" s="1909">
        <v>228.3</v>
      </c>
      <c r="G54" s="1909">
        <v>0</v>
      </c>
      <c r="H54" s="1909" t="s">
        <v>2593</v>
      </c>
      <c r="I54" s="1909">
        <v>431</v>
      </c>
      <c r="J54" s="450"/>
      <c r="K54" s="1267">
        <v>-1.000189</v>
      </c>
      <c r="L54" s="1267">
        <v>-1.0131343000000002</v>
      </c>
      <c r="M54" s="1267">
        <v>-1.006623</v>
      </c>
      <c r="N54" s="1267">
        <v>-1.001873</v>
      </c>
      <c r="O54" s="1267">
        <v>-0.99713700000000005</v>
      </c>
      <c r="P54" s="1267">
        <v>-0.992452</v>
      </c>
      <c r="Q54" s="1267">
        <v>-0.98776399999999998</v>
      </c>
      <c r="R54" s="1267">
        <v>-0.983074</v>
      </c>
      <c r="S54" s="1267">
        <v>-0.97839299999999996</v>
      </c>
      <c r="T54" s="1267">
        <v>-0.97456114999999999</v>
      </c>
      <c r="U54" s="1267">
        <v>-0.96921199999999996</v>
      </c>
      <c r="V54" s="1267">
        <v>-0.96461699999999995</v>
      </c>
      <c r="W54" s="1267">
        <v>-0.96001899999999996</v>
      </c>
      <c r="X54" s="454"/>
      <c r="Y54" s="1268">
        <f t="shared" si="0"/>
        <v>-0.98010399999999998</v>
      </c>
      <c r="Z54" s="305"/>
      <c r="AA54" s="1269" t="s">
        <v>895</v>
      </c>
      <c r="AB54" s="305"/>
      <c r="AC54" s="1270" t="str">
        <f t="shared" si="2"/>
        <v/>
      </c>
      <c r="AD54" s="1270" t="str">
        <f t="shared" si="2"/>
        <v/>
      </c>
      <c r="AE54" s="1270" t="str">
        <f t="shared" si="2"/>
        <v/>
      </c>
      <c r="AF54" s="1270">
        <f t="shared" si="2"/>
        <v>-0.98010399999999998</v>
      </c>
      <c r="AG54" s="454"/>
      <c r="AH54" s="454"/>
      <c r="AI54" s="1271"/>
    </row>
    <row r="55" spans="1:35" ht="24" customHeight="1">
      <c r="A55" s="1266" t="s">
        <v>377</v>
      </c>
      <c r="B55" s="1266" t="s">
        <v>2594</v>
      </c>
      <c r="C55" s="1266" t="s">
        <v>2503</v>
      </c>
      <c r="D55" s="460"/>
      <c r="E55" s="1909">
        <v>280465</v>
      </c>
      <c r="F55" s="1909">
        <v>228.35</v>
      </c>
      <c r="G55" s="1909">
        <v>0</v>
      </c>
      <c r="H55" s="1909" t="s">
        <v>2595</v>
      </c>
      <c r="I55" s="1909" t="s">
        <v>2596</v>
      </c>
      <c r="J55" s="450"/>
      <c r="K55" s="1267">
        <v>-41.323865159999997</v>
      </c>
      <c r="L55" s="1267">
        <v>-41.122461569999999</v>
      </c>
      <c r="M55" s="1267">
        <v>-40.922217979999999</v>
      </c>
      <c r="N55" s="1267">
        <v>-40.72197439</v>
      </c>
      <c r="O55" s="1267">
        <v>-40.5217308</v>
      </c>
      <c r="P55" s="1267">
        <v>-40.321487210000001</v>
      </c>
      <c r="Q55" s="1267">
        <v>-40.121243619999994</v>
      </c>
      <c r="R55" s="1267">
        <v>-39.921000030000002</v>
      </c>
      <c r="S55" s="1267">
        <v>-39.719596439999997</v>
      </c>
      <c r="T55" s="1267">
        <v>-39.519352850000004</v>
      </c>
      <c r="U55" s="1267">
        <v>-39.319109259999998</v>
      </c>
      <c r="V55" s="1267">
        <v>-39.120162929999999</v>
      </c>
      <c r="W55" s="1267">
        <v>-38.011830799999998</v>
      </c>
      <c r="X55" s="454"/>
      <c r="Y55" s="1268">
        <f t="shared" si="0"/>
        <v>-39.667847979999998</v>
      </c>
      <c r="Z55" s="305"/>
      <c r="AA55" s="1269" t="s">
        <v>361</v>
      </c>
      <c r="AB55" s="305"/>
      <c r="AC55" s="1270" t="str">
        <f t="shared" si="2"/>
        <v/>
      </c>
      <c r="AD55" s="1270" t="str">
        <f t="shared" si="2"/>
        <v/>
      </c>
      <c r="AE55" s="1270">
        <f t="shared" si="2"/>
        <v>-39.667847979999998</v>
      </c>
      <c r="AF55" s="1270" t="str">
        <f t="shared" si="2"/>
        <v/>
      </c>
      <c r="AG55" s="454"/>
      <c r="AH55" s="454"/>
      <c r="AI55" s="1271"/>
    </row>
    <row r="56" spans="1:35" ht="24" customHeight="1">
      <c r="A56" s="1266" t="s">
        <v>2597</v>
      </c>
      <c r="B56" s="1266" t="s">
        <v>2594</v>
      </c>
      <c r="C56" s="1266" t="s">
        <v>2598</v>
      </c>
      <c r="D56" s="460"/>
      <c r="E56" s="1909">
        <v>299107</v>
      </c>
      <c r="F56" s="1909">
        <v>219</v>
      </c>
      <c r="G56" s="1909">
        <v>0</v>
      </c>
      <c r="H56" s="1909" t="s">
        <v>2595</v>
      </c>
      <c r="I56" s="1909" t="s">
        <v>2596</v>
      </c>
      <c r="J56" s="450"/>
      <c r="K56" s="1267">
        <v>13.749858</v>
      </c>
      <c r="L56" s="1267">
        <v>13.687000830000001</v>
      </c>
      <c r="M56" s="1267">
        <v>13.62414366</v>
      </c>
      <c r="N56" s="1267">
        <v>13.561286490000001</v>
      </c>
      <c r="O56" s="1267">
        <v>13.49842932</v>
      </c>
      <c r="P56" s="1267">
        <v>13.43557215</v>
      </c>
      <c r="Q56" s="1267">
        <v>13.37271498</v>
      </c>
      <c r="R56" s="1267">
        <v>13.30985781</v>
      </c>
      <c r="S56" s="1267">
        <v>13.247000640000001</v>
      </c>
      <c r="T56" s="1267">
        <v>13.18414347</v>
      </c>
      <c r="U56" s="1267">
        <v>13.121286300000001</v>
      </c>
      <c r="V56" s="1267">
        <v>13.05842913</v>
      </c>
      <c r="W56" s="1267">
        <v>12.087051000000001</v>
      </c>
      <c r="X56" s="454"/>
      <c r="Y56" s="1268">
        <f t="shared" si="0"/>
        <v>12.918454499999999</v>
      </c>
      <c r="Z56" s="305"/>
      <c r="AA56" s="1269" t="s">
        <v>361</v>
      </c>
      <c r="AB56" s="305"/>
      <c r="AC56" s="1270" t="str">
        <f t="shared" si="2"/>
        <v/>
      </c>
      <c r="AD56" s="1270" t="str">
        <f t="shared" si="2"/>
        <v/>
      </c>
      <c r="AE56" s="1270">
        <f t="shared" si="2"/>
        <v>12.918454499999999</v>
      </c>
      <c r="AF56" s="1270" t="str">
        <f t="shared" si="2"/>
        <v/>
      </c>
      <c r="AG56" s="454"/>
      <c r="AH56" s="454"/>
      <c r="AI56" s="1271"/>
    </row>
    <row r="57" spans="1:35" ht="24" customHeight="1">
      <c r="A57" s="1266" t="s">
        <v>2599</v>
      </c>
      <c r="B57" s="1266" t="s">
        <v>2594</v>
      </c>
      <c r="C57" s="1266" t="s">
        <v>2503</v>
      </c>
      <c r="D57" s="460"/>
      <c r="E57" s="1909">
        <v>280330</v>
      </c>
      <c r="F57" s="1909">
        <v>228.3</v>
      </c>
      <c r="G57" s="1909">
        <v>0</v>
      </c>
      <c r="H57" s="1909" t="s">
        <v>2600</v>
      </c>
      <c r="I57" s="1909" t="s">
        <v>2596</v>
      </c>
      <c r="J57" s="450"/>
      <c r="K57" s="1267">
        <v>-20.198262890000002</v>
      </c>
      <c r="L57" s="1267">
        <v>-17.454226930000001</v>
      </c>
      <c r="M57" s="1267">
        <v>-17.845287920000001</v>
      </c>
      <c r="N57" s="1267">
        <v>-18.29906965</v>
      </c>
      <c r="O57" s="1267">
        <v>-18.609277460000001</v>
      </c>
      <c r="P57" s="1267">
        <v>-18.889360789999998</v>
      </c>
      <c r="Q57" s="1267">
        <v>-19.286802170000001</v>
      </c>
      <c r="R57" s="1267">
        <v>-19.553234270000001</v>
      </c>
      <c r="S57" s="1267">
        <v>-19.75954857</v>
      </c>
      <c r="T57" s="1267">
        <v>-19.933267609999998</v>
      </c>
      <c r="U57" s="1267">
        <v>-19.963578129999998</v>
      </c>
      <c r="V57" s="1267">
        <v>-20.074660059999999</v>
      </c>
      <c r="W57" s="1267">
        <v>-14.96824593</v>
      </c>
      <c r="X57" s="454"/>
      <c r="Y57" s="1268">
        <f t="shared" si="0"/>
        <v>-17.583254410000002</v>
      </c>
      <c r="Z57" s="305"/>
      <c r="AA57" s="1269" t="s">
        <v>361</v>
      </c>
      <c r="AB57" s="305"/>
      <c r="AC57" s="1270" t="str">
        <f t="shared" si="2"/>
        <v/>
      </c>
      <c r="AD57" s="1270" t="str">
        <f t="shared" si="2"/>
        <v/>
      </c>
      <c r="AE57" s="1270">
        <f t="shared" si="2"/>
        <v>-17.583254410000002</v>
      </c>
      <c r="AF57" s="1270" t="str">
        <f t="shared" si="2"/>
        <v/>
      </c>
      <c r="AG57" s="454"/>
      <c r="AH57" s="454"/>
      <c r="AI57" s="1271"/>
    </row>
    <row r="58" spans="1:35" ht="24" customHeight="1">
      <c r="A58" s="1266" t="s">
        <v>2601</v>
      </c>
      <c r="B58" s="1266" t="s">
        <v>2594</v>
      </c>
      <c r="C58" s="1266" t="s">
        <v>2503</v>
      </c>
      <c r="D58" s="460"/>
      <c r="E58" s="1909">
        <v>280490</v>
      </c>
      <c r="F58" s="1909">
        <v>228.3</v>
      </c>
      <c r="G58" s="1909">
        <v>0</v>
      </c>
      <c r="H58" s="1909" t="s">
        <v>2600</v>
      </c>
      <c r="I58" s="1909" t="s">
        <v>2596</v>
      </c>
      <c r="J58" s="450"/>
      <c r="K58" s="1267">
        <v>-1.5214181200000001</v>
      </c>
      <c r="L58" s="1267">
        <v>-1.51708877</v>
      </c>
      <c r="M58" s="1267">
        <v>-1.4927044299999999</v>
      </c>
      <c r="N58" s="1267">
        <v>-1.4882101200000002</v>
      </c>
      <c r="O58" s="1267">
        <v>-1.4765965300000001</v>
      </c>
      <c r="P58" s="1267">
        <v>-1.4488383500000002</v>
      </c>
      <c r="Q58" s="1267">
        <v>-1.43455764</v>
      </c>
      <c r="R58" s="1267">
        <v>-1.4140231399999998</v>
      </c>
      <c r="S58" s="1267">
        <v>-1.39297513</v>
      </c>
      <c r="T58" s="1267">
        <v>-1.3703751899999999</v>
      </c>
      <c r="U58" s="1267">
        <v>-1.32871925</v>
      </c>
      <c r="V58" s="1267">
        <v>-1.3131300299999999</v>
      </c>
      <c r="W58" s="1267">
        <v>-1.3000240000000001</v>
      </c>
      <c r="X58" s="330"/>
      <c r="Y58" s="1268">
        <f t="shared" si="0"/>
        <v>-1.4107210600000002</v>
      </c>
      <c r="Z58" s="330"/>
      <c r="AA58" s="1269" t="s">
        <v>361</v>
      </c>
      <c r="AB58" s="330"/>
      <c r="AC58" s="1270" t="str">
        <f t="shared" si="2"/>
        <v/>
      </c>
      <c r="AD58" s="1270" t="str">
        <f t="shared" si="2"/>
        <v/>
      </c>
      <c r="AE58" s="1270">
        <f t="shared" si="2"/>
        <v>-1.4107210600000002</v>
      </c>
      <c r="AF58" s="1270" t="str">
        <f t="shared" si="2"/>
        <v/>
      </c>
      <c r="AG58" s="330"/>
      <c r="AH58" s="330"/>
      <c r="AI58" s="1271"/>
    </row>
    <row r="59" spans="1:35">
      <c r="A59" s="1272" t="s">
        <v>1322</v>
      </c>
      <c r="B59" s="449"/>
      <c r="C59" s="449"/>
      <c r="D59" s="460"/>
      <c r="E59" s="450"/>
      <c r="F59" s="450"/>
      <c r="G59" s="450"/>
      <c r="H59" s="450"/>
      <c r="I59" s="450"/>
      <c r="J59" s="450"/>
      <c r="K59" s="1273">
        <f t="shared" ref="K59:W59" si="3">SUM(K8:K58)</f>
        <v>-1513.0363725499999</v>
      </c>
      <c r="L59" s="1273">
        <f t="shared" si="3"/>
        <v>-1792.6399232700003</v>
      </c>
      <c r="M59" s="1273">
        <f t="shared" si="3"/>
        <v>-1843.3281972899995</v>
      </c>
      <c r="N59" s="1273">
        <f t="shared" si="3"/>
        <v>-1854.9288336300003</v>
      </c>
      <c r="O59" s="1273">
        <f t="shared" si="3"/>
        <v>-1814.6343300100002</v>
      </c>
      <c r="P59" s="1273">
        <f t="shared" si="3"/>
        <v>-1794.8077083499998</v>
      </c>
      <c r="Q59" s="1273">
        <f t="shared" si="3"/>
        <v>-2033.8559814000002</v>
      </c>
      <c r="R59" s="1273">
        <f t="shared" si="3"/>
        <v>-1795.2842220099997</v>
      </c>
      <c r="S59" s="1273">
        <f t="shared" si="3"/>
        <v>-1604.9730902300009</v>
      </c>
      <c r="T59" s="1273">
        <f t="shared" si="3"/>
        <v>-1611.0036819499996</v>
      </c>
      <c r="U59" s="1273">
        <f t="shared" si="3"/>
        <v>-1608.5109803199996</v>
      </c>
      <c r="V59" s="1273">
        <f t="shared" si="3"/>
        <v>-1563.5120993999997</v>
      </c>
      <c r="W59" s="1273">
        <f t="shared" si="3"/>
        <v>-1704.3137289199999</v>
      </c>
      <c r="X59" s="1274"/>
      <c r="Y59" s="1275">
        <f>SUM(Y8:Y58)</f>
        <v>-1608.6750507350005</v>
      </c>
      <c r="Z59" s="1274"/>
      <c r="AA59" s="1274"/>
      <c r="AB59" s="1274"/>
      <c r="AC59" s="1276">
        <f>SUM(AC8:AC58)</f>
        <v>-0.27156735000000021</v>
      </c>
      <c r="AD59" s="1276">
        <f>SUM(AD8:AD58)</f>
        <v>0</v>
      </c>
      <c r="AE59" s="1276">
        <f>SUM(AE8:AE58)</f>
        <v>-93.165441099999995</v>
      </c>
      <c r="AF59" s="1276">
        <f>SUM(AF8:AF58)</f>
        <v>-1515.2380422850001</v>
      </c>
      <c r="AG59" s="1274"/>
      <c r="AH59" s="454"/>
      <c r="AI59" s="454"/>
    </row>
    <row r="60" spans="1:35">
      <c r="A60" s="1254"/>
      <c r="B60" s="332"/>
      <c r="C60" s="332"/>
      <c r="D60" s="329"/>
      <c r="E60" s="329"/>
      <c r="F60" s="329"/>
      <c r="G60" s="329"/>
      <c r="H60" s="329"/>
      <c r="I60" s="329"/>
      <c r="J60" s="329"/>
      <c r="K60" s="1252"/>
      <c r="L60" s="1252"/>
      <c r="M60" s="1252"/>
      <c r="N60" s="1252"/>
      <c r="O60" s="1252"/>
      <c r="P60" s="1252"/>
      <c r="Q60" s="1252"/>
      <c r="R60" s="1252"/>
      <c r="S60" s="1252"/>
      <c r="T60" s="1252"/>
      <c r="U60" s="1252"/>
      <c r="V60" s="1252"/>
      <c r="W60" s="1252"/>
      <c r="X60" s="305"/>
      <c r="Y60" s="305"/>
      <c r="Z60" s="305"/>
      <c r="AA60" s="305"/>
      <c r="AB60" s="305"/>
      <c r="AC60" s="1277"/>
      <c r="AD60" s="1277"/>
      <c r="AE60" s="1277"/>
      <c r="AF60" s="1277"/>
      <c r="AG60" s="454"/>
      <c r="AH60" s="305"/>
      <c r="AI60" s="305"/>
    </row>
    <row r="61" spans="1:35">
      <c r="A61" s="1254"/>
      <c r="B61" s="332"/>
      <c r="C61" s="332"/>
      <c r="D61" s="329"/>
      <c r="E61" s="329"/>
      <c r="F61" s="329"/>
      <c r="G61" s="329"/>
      <c r="H61" s="329"/>
      <c r="I61" s="329"/>
      <c r="J61" s="329"/>
      <c r="K61" s="1252"/>
      <c r="L61" s="1252"/>
      <c r="M61" s="1252"/>
      <c r="N61" s="1252"/>
      <c r="O61" s="1252"/>
      <c r="P61" s="1252"/>
      <c r="Q61" s="1252"/>
      <c r="R61" s="1252"/>
      <c r="S61" s="1252"/>
      <c r="T61" s="1252"/>
      <c r="U61" s="1252"/>
      <c r="V61" s="1252"/>
      <c r="W61" s="1252"/>
      <c r="X61" s="305"/>
      <c r="Y61" s="1252"/>
      <c r="Z61" s="305"/>
      <c r="AA61" s="305"/>
      <c r="AB61" s="305"/>
      <c r="AC61" s="305"/>
      <c r="AD61" s="305"/>
      <c r="AE61" s="1252"/>
      <c r="AF61" s="1252"/>
      <c r="AG61" s="454"/>
      <c r="AH61" s="305"/>
      <c r="AI61" s="305"/>
    </row>
    <row r="62" spans="1:35">
      <c r="A62" s="1254"/>
      <c r="B62" s="332"/>
      <c r="C62" s="332"/>
      <c r="D62" s="329"/>
      <c r="E62" s="329"/>
      <c r="F62" s="329"/>
      <c r="G62" s="329"/>
      <c r="H62" s="329"/>
      <c r="I62" s="329"/>
      <c r="J62" s="329"/>
      <c r="K62" s="1252"/>
      <c r="L62" s="1252"/>
      <c r="M62" s="1252"/>
      <c r="N62" s="1252"/>
      <c r="O62" s="1252"/>
      <c r="P62" s="1252"/>
      <c r="Q62" s="1252"/>
      <c r="R62" s="1252"/>
      <c r="S62" s="1252"/>
      <c r="T62" s="1252"/>
      <c r="U62" s="1252"/>
      <c r="V62" s="1252"/>
      <c r="W62" s="1253"/>
      <c r="X62" s="305"/>
      <c r="Y62" s="305"/>
      <c r="Z62" s="305"/>
      <c r="AA62" s="1278" t="s">
        <v>13</v>
      </c>
      <c r="AB62" s="1278"/>
      <c r="AC62" s="1279">
        <v>1</v>
      </c>
      <c r="AD62" s="1280">
        <f>Allocator.gross.plant</f>
        <v>0.30616875056309001</v>
      </c>
      <c r="AE62" s="1280">
        <f>Allocator.wages.salary</f>
        <v>9.4690139101538909E-2</v>
      </c>
      <c r="AF62" s="1280">
        <v>0</v>
      </c>
      <c r="AG62" s="305"/>
      <c r="AH62" s="305"/>
      <c r="AI62" s="305"/>
    </row>
    <row r="63" spans="1:35">
      <c r="A63" s="1254"/>
      <c r="B63" s="332"/>
      <c r="C63" s="332"/>
      <c r="D63" s="329"/>
      <c r="E63" s="329"/>
      <c r="F63" s="329"/>
      <c r="G63" s="329"/>
      <c r="H63" s="329"/>
      <c r="I63" s="329"/>
      <c r="J63" s="329"/>
      <c r="K63" s="1252"/>
      <c r="L63" s="1252"/>
      <c r="M63" s="1252"/>
      <c r="N63" s="1252"/>
      <c r="O63" s="1252"/>
      <c r="P63" s="1252"/>
      <c r="Q63" s="1252"/>
      <c r="R63" s="1252"/>
      <c r="S63" s="1252"/>
      <c r="T63" s="1252"/>
      <c r="U63" s="1252"/>
      <c r="V63" s="1252"/>
      <c r="W63" s="1253"/>
      <c r="X63" s="305"/>
      <c r="Y63" s="305"/>
      <c r="Z63" s="305"/>
      <c r="AA63" s="1278" t="s">
        <v>1323</v>
      </c>
      <c r="AB63" s="1278"/>
      <c r="AC63" s="1281">
        <f>AC59*AC62</f>
        <v>-0.27156735000000021</v>
      </c>
      <c r="AD63" s="1282">
        <f>AD59*AD62</f>
        <v>0</v>
      </c>
      <c r="AE63" s="1282">
        <f>AE59*AE62</f>
        <v>-8.8218485772152295</v>
      </c>
      <c r="AF63" s="1282">
        <f>AF59*AF62</f>
        <v>0</v>
      </c>
      <c r="AG63" s="1283">
        <f>SUM(AC63:AF63)</f>
        <v>-9.0934159272152293</v>
      </c>
      <c r="AH63" s="305"/>
      <c r="AI63" s="305"/>
    </row>
    <row r="64" spans="1:35">
      <c r="A64" s="1254"/>
      <c r="B64" s="332"/>
      <c r="C64" s="332"/>
      <c r="D64" s="329"/>
      <c r="E64" s="329"/>
      <c r="F64" s="329"/>
      <c r="G64" s="329"/>
      <c r="H64" s="329"/>
      <c r="I64" s="329"/>
      <c r="J64" s="329"/>
      <c r="K64" s="1252"/>
      <c r="L64" s="1252"/>
      <c r="M64" s="1252"/>
      <c r="N64" s="1252"/>
      <c r="O64" s="1252"/>
      <c r="P64" s="1252"/>
      <c r="Q64" s="1252"/>
      <c r="R64" s="1252"/>
      <c r="S64" s="1252"/>
      <c r="T64" s="1252"/>
      <c r="U64" s="1252"/>
      <c r="V64" s="1252"/>
      <c r="W64" s="1253"/>
      <c r="X64" s="305"/>
      <c r="Y64" s="305"/>
      <c r="Z64" s="305"/>
      <c r="AA64" s="1278"/>
      <c r="AB64" s="1278"/>
      <c r="AC64" s="305"/>
      <c r="AD64" s="1284"/>
      <c r="AE64" s="1284"/>
      <c r="AF64" s="1284"/>
      <c r="AG64" s="1284"/>
      <c r="AH64" s="305"/>
      <c r="AI64" s="305"/>
    </row>
    <row r="65" spans="1:35">
      <c r="A65" s="1254"/>
      <c r="B65" s="332"/>
      <c r="C65" s="332"/>
      <c r="D65" s="329"/>
      <c r="E65" s="329"/>
      <c r="F65" s="329"/>
      <c r="G65" s="329"/>
      <c r="H65" s="329"/>
      <c r="I65" s="329"/>
      <c r="J65" s="329"/>
      <c r="K65" s="1252"/>
      <c r="L65" s="1252"/>
      <c r="M65" s="1252"/>
      <c r="N65" s="1252"/>
      <c r="O65" s="1252"/>
      <c r="P65" s="1252"/>
      <c r="Q65" s="1252"/>
      <c r="R65" s="1252"/>
      <c r="S65" s="1252"/>
      <c r="T65" s="1252"/>
      <c r="U65" s="1252"/>
      <c r="V65" s="1252"/>
      <c r="W65" s="1253"/>
      <c r="X65" s="305"/>
      <c r="Y65" s="305"/>
      <c r="Z65" s="305"/>
      <c r="AA65" s="1285" t="s">
        <v>804</v>
      </c>
      <c r="AB65" s="1278"/>
      <c r="AC65" s="454"/>
      <c r="AD65" s="454"/>
      <c r="AE65" s="1286"/>
      <c r="AF65" s="454"/>
      <c r="AG65" s="1287">
        <f>AG63*10^6</f>
        <v>-9093415.9272152297</v>
      </c>
      <c r="AH65" s="305"/>
      <c r="AI65" s="305"/>
    </row>
    <row r="66" spans="1:35">
      <c r="A66" s="1288"/>
      <c r="B66" s="1289"/>
      <c r="C66" s="1289"/>
      <c r="D66" s="1290"/>
      <c r="E66" s="1290"/>
      <c r="F66" s="1290"/>
      <c r="G66" s="1290"/>
      <c r="H66" s="1290"/>
      <c r="I66" s="1290"/>
      <c r="J66" s="1290"/>
      <c r="K66" s="1291"/>
      <c r="L66" s="1291"/>
      <c r="M66" s="1291"/>
      <c r="N66" s="1291"/>
      <c r="O66" s="1291"/>
      <c r="P66" s="1291"/>
      <c r="Q66" s="1291"/>
      <c r="R66" s="1291"/>
      <c r="S66" s="1291"/>
      <c r="T66" s="1291"/>
      <c r="U66" s="1291"/>
      <c r="V66" s="1291"/>
      <c r="W66" s="1292"/>
      <c r="X66" s="305"/>
      <c r="Y66" s="305"/>
      <c r="Z66" s="305"/>
      <c r="AA66" s="305"/>
      <c r="AB66" s="305"/>
      <c r="AC66" s="305"/>
      <c r="AD66" s="305"/>
      <c r="AE66" s="305"/>
      <c r="AF66" s="305"/>
      <c r="AG66" s="305"/>
      <c r="AH66" s="305"/>
      <c r="AI66" s="305"/>
    </row>
    <row r="67" spans="1:35">
      <c r="A67" s="1288"/>
      <c r="B67" s="1289"/>
      <c r="C67" s="1289"/>
      <c r="D67" s="1290"/>
      <c r="E67" s="1290"/>
      <c r="F67" s="1290"/>
      <c r="G67" s="1290"/>
      <c r="H67" s="1290"/>
      <c r="I67" s="1290"/>
      <c r="J67" s="1290"/>
      <c r="K67" s="1291"/>
      <c r="L67" s="1291"/>
      <c r="M67" s="1291"/>
      <c r="N67" s="1291"/>
      <c r="O67" s="1291"/>
      <c r="P67" s="1291"/>
      <c r="Q67" s="1291"/>
      <c r="R67" s="1291"/>
      <c r="S67" s="1291"/>
      <c r="T67" s="1291"/>
      <c r="U67" s="1291"/>
      <c r="V67" s="1291"/>
      <c r="W67" s="1292"/>
      <c r="X67" s="305"/>
      <c r="Y67" s="305"/>
      <c r="Z67" s="305"/>
      <c r="AA67" s="305"/>
      <c r="AB67" s="305"/>
      <c r="AC67" s="305"/>
      <c r="AD67" s="305"/>
      <c r="AE67" s="305"/>
      <c r="AF67" s="305"/>
      <c r="AG67" s="305"/>
      <c r="AH67" s="305"/>
      <c r="AI67" s="305"/>
    </row>
    <row r="68" spans="1:35">
      <c r="A68" s="1288"/>
      <c r="B68" s="1289"/>
      <c r="C68" s="1289"/>
      <c r="D68" s="1290"/>
      <c r="E68" s="1290"/>
      <c r="F68" s="1290"/>
      <c r="G68" s="1290"/>
      <c r="H68" s="1290"/>
      <c r="I68" s="1290"/>
      <c r="J68" s="1290"/>
      <c r="K68" s="1291"/>
      <c r="L68" s="1291"/>
      <c r="M68" s="1291"/>
      <c r="N68" s="1291"/>
      <c r="O68" s="1291"/>
      <c r="P68" s="1291"/>
      <c r="Q68" s="1291"/>
      <c r="R68" s="1291"/>
      <c r="S68" s="1291"/>
      <c r="T68" s="1291"/>
      <c r="U68" s="1291"/>
      <c r="V68" s="1291"/>
      <c r="W68" s="1292"/>
      <c r="X68" s="305"/>
      <c r="Y68" s="305"/>
      <c r="Z68" s="305"/>
      <c r="AA68" s="305"/>
      <c r="AB68" s="305"/>
      <c r="AC68" s="305"/>
      <c r="AD68" s="305"/>
      <c r="AE68" s="305"/>
      <c r="AF68" s="305"/>
      <c r="AG68" s="305"/>
      <c r="AH68" s="305"/>
      <c r="AI68" s="305"/>
    </row>
    <row r="69" spans="1:35">
      <c r="A69" s="1288"/>
      <c r="B69" s="1289"/>
      <c r="C69" s="1289"/>
      <c r="D69" s="1290"/>
      <c r="E69" s="1290"/>
      <c r="F69" s="1290"/>
      <c r="G69" s="1290"/>
      <c r="H69" s="1290"/>
      <c r="I69" s="1290"/>
      <c r="J69" s="1290"/>
      <c r="K69" s="1291"/>
      <c r="L69" s="1291"/>
      <c r="M69" s="1291"/>
      <c r="N69" s="1291"/>
      <c r="O69" s="1291"/>
      <c r="P69" s="1291"/>
      <c r="Q69" s="1291"/>
      <c r="R69" s="1291"/>
      <c r="S69" s="1291"/>
      <c r="T69" s="1291"/>
      <c r="U69" s="1291"/>
      <c r="V69" s="1291"/>
      <c r="W69" s="1292"/>
      <c r="X69" s="305"/>
      <c r="Y69" s="305"/>
      <c r="Z69" s="305"/>
      <c r="AA69" s="305"/>
      <c r="AB69" s="305"/>
      <c r="AC69" s="305"/>
      <c r="AD69" s="305"/>
      <c r="AE69" s="305"/>
      <c r="AF69" s="305"/>
      <c r="AG69" s="305"/>
      <c r="AH69" s="305"/>
      <c r="AI69" s="305"/>
    </row>
    <row r="70" spans="1:35">
      <c r="A70" s="1288"/>
      <c r="B70" s="1289"/>
      <c r="C70" s="1289"/>
      <c r="D70" s="1290"/>
      <c r="E70" s="1290"/>
      <c r="F70" s="1290"/>
      <c r="G70" s="1290"/>
      <c r="H70" s="1290"/>
      <c r="I70" s="1290"/>
      <c r="J70" s="1290"/>
      <c r="K70" s="1291"/>
      <c r="L70" s="1291"/>
      <c r="M70" s="1291"/>
      <c r="N70" s="1291"/>
      <c r="O70" s="1291"/>
      <c r="P70" s="1291"/>
      <c r="Q70" s="1291"/>
      <c r="R70" s="1291"/>
      <c r="S70" s="1291"/>
      <c r="T70" s="1291"/>
      <c r="U70" s="1291"/>
      <c r="V70" s="1291"/>
      <c r="W70" s="1292"/>
      <c r="X70" s="305"/>
      <c r="Y70" s="305"/>
      <c r="Z70" s="305"/>
      <c r="AA70" s="305"/>
      <c r="AB70" s="305"/>
      <c r="AC70" s="305"/>
      <c r="AD70" s="305"/>
      <c r="AE70" s="305"/>
      <c r="AF70" s="305"/>
      <c r="AG70" s="305"/>
      <c r="AH70" s="305"/>
      <c r="AI70" s="305"/>
    </row>
    <row r="71" spans="1:35">
      <c r="A71" s="1293"/>
      <c r="B71" s="1294"/>
      <c r="C71" s="1294"/>
      <c r="D71" s="1295"/>
      <c r="E71" s="1295"/>
      <c r="F71" s="1295"/>
      <c r="G71" s="1295"/>
      <c r="H71" s="1295"/>
      <c r="I71" s="1295"/>
      <c r="J71" s="1295"/>
      <c r="K71" s="1291"/>
      <c r="L71" s="1291"/>
      <c r="M71" s="1291"/>
      <c r="N71" s="1291"/>
      <c r="O71" s="1291"/>
      <c r="P71" s="1291"/>
      <c r="Q71" s="1291"/>
      <c r="R71" s="1291"/>
      <c r="S71" s="1291"/>
      <c r="T71" s="1291"/>
      <c r="U71" s="1291"/>
      <c r="V71" s="1291"/>
      <c r="W71" s="1292"/>
      <c r="X71" s="305"/>
      <c r="Y71" s="305"/>
      <c r="Z71" s="305"/>
      <c r="AA71" s="305"/>
      <c r="AB71" s="305"/>
      <c r="AC71" s="305"/>
      <c r="AD71" s="305"/>
      <c r="AE71" s="305"/>
      <c r="AF71" s="305"/>
      <c r="AG71" s="305"/>
      <c r="AH71" s="305"/>
      <c r="AI71" s="305"/>
    </row>
    <row r="72" spans="1:35">
      <c r="A72" s="1293"/>
      <c r="B72" s="1294"/>
      <c r="C72" s="1294"/>
      <c r="D72" s="1295"/>
      <c r="E72" s="1295"/>
      <c r="F72" s="1295"/>
      <c r="G72" s="1295"/>
      <c r="H72" s="1295"/>
      <c r="I72" s="1295"/>
      <c r="J72" s="1295"/>
      <c r="K72" s="1291"/>
      <c r="L72" s="1291"/>
      <c r="M72" s="1291"/>
      <c r="N72" s="1291"/>
      <c r="O72" s="1291"/>
      <c r="P72" s="1291"/>
      <c r="Q72" s="1291"/>
      <c r="R72" s="1291"/>
      <c r="S72" s="1291"/>
      <c r="T72" s="1291"/>
      <c r="U72" s="1291"/>
      <c r="V72" s="1291"/>
      <c r="W72" s="1292"/>
      <c r="X72" s="305"/>
      <c r="Y72" s="305"/>
      <c r="Z72" s="305"/>
      <c r="AA72" s="305"/>
      <c r="AB72" s="305"/>
      <c r="AC72" s="305"/>
      <c r="AD72" s="305"/>
      <c r="AE72" s="305"/>
      <c r="AF72" s="305"/>
      <c r="AG72" s="305"/>
      <c r="AH72" s="305"/>
      <c r="AI72" s="305"/>
    </row>
    <row r="73" spans="1:35">
      <c r="A73" s="1293"/>
      <c r="B73" s="1294"/>
      <c r="C73" s="1294"/>
      <c r="D73" s="1295"/>
      <c r="E73" s="1295"/>
      <c r="F73" s="1295"/>
      <c r="G73" s="1295"/>
      <c r="H73" s="1295"/>
      <c r="I73" s="1295"/>
      <c r="J73" s="1295"/>
      <c r="K73" s="1291"/>
      <c r="L73" s="1291"/>
      <c r="M73" s="1291"/>
      <c r="N73" s="1291"/>
      <c r="O73" s="1291"/>
      <c r="P73" s="1291"/>
      <c r="Q73" s="1291"/>
      <c r="R73" s="1291"/>
      <c r="S73" s="1291"/>
      <c r="T73" s="1291"/>
      <c r="U73" s="1291"/>
      <c r="V73" s="1291"/>
      <c r="W73" s="1292"/>
      <c r="X73" s="305"/>
      <c r="Y73" s="305"/>
      <c r="Z73" s="305"/>
      <c r="AA73" s="305"/>
      <c r="AB73" s="305"/>
      <c r="AC73" s="305"/>
      <c r="AD73" s="305"/>
      <c r="AE73" s="305"/>
      <c r="AF73" s="305"/>
      <c r="AG73" s="305"/>
      <c r="AH73" s="305"/>
      <c r="AI73" s="305"/>
    </row>
    <row r="74" spans="1:35">
      <c r="A74" s="1293"/>
      <c r="B74" s="1294"/>
      <c r="C74" s="1294"/>
      <c r="D74" s="1295"/>
      <c r="E74" s="1295"/>
      <c r="F74" s="1295"/>
      <c r="G74" s="1295"/>
      <c r="H74" s="1295"/>
      <c r="I74" s="1295"/>
      <c r="J74" s="1295"/>
      <c r="K74" s="1291"/>
      <c r="L74" s="1291"/>
      <c r="M74" s="1291"/>
      <c r="N74" s="1291"/>
      <c r="O74" s="1291"/>
      <c r="P74" s="1291"/>
      <c r="Q74" s="1291"/>
      <c r="R74" s="1291"/>
      <c r="S74" s="1291"/>
      <c r="T74" s="1291"/>
      <c r="U74" s="1291"/>
      <c r="V74" s="1291"/>
      <c r="W74" s="1292"/>
      <c r="X74" s="305"/>
      <c r="Y74" s="305"/>
      <c r="Z74" s="305"/>
      <c r="AA74" s="305"/>
      <c r="AB74" s="305"/>
      <c r="AC74" s="305"/>
      <c r="AD74" s="305"/>
      <c r="AE74" s="305"/>
      <c r="AF74" s="305"/>
      <c r="AG74" s="305"/>
      <c r="AH74" s="305"/>
      <c r="AI74" s="305"/>
    </row>
    <row r="75" spans="1:35">
      <c r="A75" s="1293"/>
      <c r="B75" s="1294"/>
      <c r="C75" s="1294"/>
      <c r="D75" s="1295"/>
      <c r="E75" s="1295"/>
      <c r="F75" s="1295"/>
      <c r="G75" s="1295"/>
      <c r="H75" s="1295"/>
      <c r="I75" s="1295"/>
      <c r="J75" s="1295"/>
      <c r="K75" s="1291"/>
      <c r="L75" s="1291"/>
      <c r="M75" s="1291"/>
      <c r="N75" s="1291"/>
      <c r="O75" s="1291"/>
      <c r="P75" s="1291"/>
      <c r="Q75" s="1291"/>
      <c r="R75" s="1291"/>
      <c r="S75" s="1291"/>
      <c r="T75" s="1291"/>
      <c r="U75" s="1291"/>
      <c r="V75" s="1291"/>
      <c r="W75" s="1292"/>
      <c r="X75" s="305"/>
      <c r="Y75" s="305"/>
      <c r="Z75" s="305"/>
      <c r="AA75" s="305"/>
      <c r="AB75" s="305"/>
      <c r="AC75" s="305"/>
      <c r="AD75" s="305"/>
      <c r="AE75" s="305"/>
      <c r="AF75" s="305"/>
      <c r="AG75" s="305"/>
      <c r="AH75" s="305"/>
      <c r="AI75" s="305"/>
    </row>
    <row r="76" spans="1:35">
      <c r="A76" s="1293"/>
      <c r="B76" s="1294"/>
      <c r="C76" s="1294"/>
      <c r="D76" s="1295"/>
      <c r="E76" s="1295"/>
      <c r="F76" s="1295"/>
      <c r="G76" s="1295"/>
      <c r="H76" s="1295"/>
      <c r="I76" s="1295"/>
      <c r="J76" s="1295"/>
      <c r="K76" s="1291"/>
      <c r="L76" s="1291"/>
      <c r="M76" s="1291"/>
      <c r="N76" s="1291"/>
      <c r="O76" s="1291"/>
      <c r="P76" s="1291"/>
      <c r="Q76" s="1291"/>
      <c r="R76" s="1291"/>
      <c r="S76" s="1291"/>
      <c r="T76" s="1291"/>
      <c r="U76" s="1291"/>
      <c r="V76" s="1291"/>
      <c r="W76" s="1292"/>
      <c r="X76" s="305"/>
      <c r="Y76" s="305"/>
      <c r="Z76" s="305"/>
      <c r="AA76" s="305"/>
      <c r="AB76" s="305"/>
      <c r="AC76" s="305"/>
      <c r="AD76" s="305"/>
      <c r="AE76" s="305"/>
      <c r="AF76" s="305"/>
      <c r="AG76" s="305"/>
      <c r="AH76" s="305"/>
      <c r="AI76" s="305"/>
    </row>
    <row r="77" spans="1:35">
      <c r="A77" s="1293"/>
      <c r="B77" s="1294"/>
      <c r="C77" s="1294"/>
      <c r="D77" s="1295"/>
      <c r="E77" s="1295"/>
      <c r="F77" s="1295"/>
      <c r="G77" s="1295"/>
      <c r="H77" s="1295"/>
      <c r="I77" s="1295"/>
      <c r="J77" s="1295"/>
      <c r="K77" s="1291"/>
      <c r="L77" s="1291"/>
      <c r="M77" s="1291"/>
      <c r="N77" s="1291"/>
      <c r="O77" s="1291"/>
      <c r="P77" s="1291"/>
      <c r="Q77" s="1291"/>
      <c r="R77" s="1291"/>
      <c r="S77" s="1291"/>
      <c r="T77" s="1291"/>
      <c r="U77" s="1291"/>
      <c r="V77" s="1291"/>
      <c r="W77" s="1292"/>
      <c r="X77" s="305"/>
      <c r="Y77" s="305"/>
      <c r="Z77" s="305"/>
      <c r="AA77" s="305"/>
      <c r="AB77" s="305"/>
      <c r="AC77" s="305"/>
      <c r="AD77" s="305"/>
      <c r="AE77" s="305"/>
      <c r="AF77" s="305"/>
      <c r="AG77" s="305"/>
      <c r="AH77" s="305"/>
      <c r="AI77" s="305"/>
    </row>
    <row r="78" spans="1:35">
      <c r="A78" s="1293"/>
      <c r="B78" s="1294"/>
      <c r="C78" s="1294"/>
      <c r="D78" s="1295"/>
      <c r="E78" s="1295"/>
      <c r="F78" s="1295"/>
      <c r="G78" s="1295"/>
      <c r="H78" s="1295"/>
      <c r="I78" s="1295"/>
      <c r="J78" s="1295"/>
      <c r="K78" s="1291"/>
      <c r="L78" s="1291"/>
      <c r="M78" s="1291"/>
      <c r="N78" s="1291"/>
      <c r="O78" s="1291"/>
      <c r="P78" s="1291"/>
      <c r="Q78" s="1291"/>
      <c r="R78" s="1291"/>
      <c r="S78" s="1291"/>
      <c r="T78" s="1291"/>
      <c r="U78" s="1291"/>
      <c r="V78" s="1291"/>
      <c r="W78" s="1292"/>
      <c r="X78" s="305"/>
      <c r="Y78" s="305"/>
      <c r="Z78" s="305"/>
      <c r="AA78" s="305"/>
      <c r="AB78" s="305"/>
      <c r="AC78" s="305"/>
      <c r="AD78" s="305"/>
      <c r="AE78" s="305"/>
      <c r="AF78" s="305"/>
      <c r="AG78" s="305"/>
      <c r="AH78" s="305"/>
      <c r="AI78" s="305"/>
    </row>
    <row r="79" spans="1:35">
      <c r="A79" s="1293"/>
      <c r="B79" s="1294"/>
      <c r="C79" s="1294"/>
      <c r="D79" s="1295"/>
      <c r="E79" s="1295"/>
      <c r="F79" s="1295"/>
      <c r="G79" s="1295"/>
      <c r="H79" s="1295"/>
      <c r="I79" s="1295"/>
      <c r="J79" s="1295"/>
      <c r="K79" s="1291"/>
      <c r="L79" s="1291"/>
      <c r="M79" s="1291"/>
      <c r="N79" s="1291"/>
      <c r="O79" s="1291"/>
      <c r="P79" s="1291"/>
      <c r="Q79" s="1291"/>
      <c r="R79" s="1291"/>
      <c r="S79" s="1291"/>
      <c r="T79" s="1291"/>
      <c r="U79" s="1291"/>
      <c r="V79" s="1291"/>
      <c r="W79" s="1292"/>
      <c r="X79" s="305"/>
      <c r="Y79" s="305"/>
      <c r="Z79" s="305"/>
      <c r="AA79" s="305"/>
      <c r="AB79" s="305"/>
      <c r="AC79" s="305"/>
      <c r="AD79" s="305"/>
      <c r="AE79" s="305"/>
      <c r="AF79" s="305"/>
      <c r="AG79" s="305"/>
      <c r="AH79" s="305"/>
      <c r="AI79" s="305"/>
    </row>
    <row r="80" spans="1:35">
      <c r="A80" s="1293"/>
      <c r="B80" s="1294"/>
      <c r="C80" s="1294"/>
      <c r="D80" s="1295"/>
      <c r="E80" s="1295"/>
      <c r="F80" s="1295"/>
      <c r="G80" s="1295"/>
      <c r="H80" s="1295"/>
      <c r="I80" s="1295"/>
      <c r="J80" s="1295"/>
      <c r="K80" s="1291"/>
      <c r="L80" s="1291"/>
      <c r="M80" s="1291"/>
      <c r="N80" s="1291"/>
      <c r="O80" s="1291"/>
      <c r="P80" s="1291"/>
      <c r="Q80" s="1291"/>
      <c r="R80" s="1291"/>
      <c r="S80" s="1291"/>
      <c r="T80" s="1291"/>
      <c r="U80" s="1291"/>
      <c r="V80" s="1291"/>
      <c r="W80" s="1292"/>
      <c r="X80" s="305"/>
      <c r="Y80" s="305"/>
      <c r="Z80" s="305"/>
      <c r="AA80" s="305"/>
      <c r="AB80" s="305"/>
      <c r="AC80" s="305"/>
      <c r="AD80" s="305"/>
      <c r="AE80" s="305"/>
      <c r="AF80" s="305"/>
      <c r="AG80" s="305"/>
      <c r="AH80" s="305"/>
      <c r="AI80" s="305"/>
    </row>
    <row r="81" spans="1:35">
      <c r="A81" s="1293"/>
      <c r="B81" s="1294"/>
      <c r="C81" s="1294"/>
      <c r="D81" s="1295"/>
      <c r="E81" s="1295"/>
      <c r="F81" s="1295"/>
      <c r="G81" s="1295"/>
      <c r="H81" s="1295"/>
      <c r="I81" s="1295"/>
      <c r="J81" s="1295"/>
      <c r="K81" s="1291"/>
      <c r="L81" s="1291"/>
      <c r="M81" s="1291"/>
      <c r="N81" s="1291"/>
      <c r="O81" s="1291"/>
      <c r="P81" s="1291"/>
      <c r="Q81" s="1291"/>
      <c r="R81" s="1291"/>
      <c r="S81" s="1291"/>
      <c r="T81" s="1291"/>
      <c r="U81" s="1291"/>
      <c r="V81" s="1291"/>
      <c r="W81" s="1292"/>
      <c r="X81" s="305"/>
      <c r="Y81" s="305"/>
      <c r="Z81" s="305"/>
      <c r="AA81" s="305"/>
      <c r="AB81" s="305"/>
      <c r="AC81" s="305"/>
      <c r="AD81" s="305"/>
      <c r="AE81" s="305"/>
      <c r="AF81" s="305"/>
      <c r="AG81" s="305"/>
      <c r="AH81" s="305"/>
      <c r="AI81" s="305"/>
    </row>
    <row r="82" spans="1:35">
      <c r="A82" s="1293"/>
      <c r="B82" s="1294"/>
      <c r="C82" s="1294"/>
      <c r="D82" s="1295"/>
      <c r="E82" s="1295"/>
      <c r="F82" s="1295"/>
      <c r="G82" s="1295"/>
      <c r="H82" s="1295"/>
      <c r="I82" s="1295"/>
      <c r="J82" s="1295"/>
      <c r="K82" s="1291"/>
      <c r="L82" s="1291"/>
      <c r="M82" s="1291"/>
      <c r="N82" s="1291"/>
      <c r="O82" s="1291"/>
      <c r="P82" s="1291"/>
      <c r="Q82" s="1291"/>
      <c r="R82" s="1291"/>
      <c r="S82" s="1291"/>
      <c r="T82" s="1291"/>
      <c r="U82" s="1291"/>
      <c r="V82" s="1291"/>
      <c r="W82" s="1292"/>
      <c r="X82" s="305"/>
      <c r="Y82" s="305"/>
      <c r="Z82" s="305"/>
      <c r="AA82" s="305"/>
      <c r="AB82" s="305"/>
      <c r="AC82" s="305"/>
      <c r="AD82" s="305"/>
      <c r="AE82" s="305"/>
      <c r="AF82" s="305"/>
      <c r="AG82" s="305"/>
      <c r="AH82" s="305"/>
      <c r="AI82" s="305"/>
    </row>
    <row r="83" spans="1:35">
      <c r="A83" s="1293"/>
      <c r="B83" s="1294"/>
      <c r="C83" s="1294"/>
      <c r="D83" s="1295"/>
      <c r="E83" s="1295"/>
      <c r="F83" s="1295"/>
      <c r="G83" s="1295"/>
      <c r="H83" s="1295"/>
      <c r="I83" s="1295"/>
      <c r="J83" s="1295"/>
      <c r="K83" s="1291"/>
      <c r="L83" s="1291"/>
      <c r="M83" s="1291"/>
      <c r="N83" s="1291"/>
      <c r="O83" s="1291"/>
      <c r="P83" s="1291"/>
      <c r="Q83" s="1291"/>
      <c r="R83" s="1291"/>
      <c r="S83" s="1291"/>
      <c r="T83" s="1291"/>
      <c r="U83" s="1291"/>
      <c r="V83" s="1291"/>
      <c r="W83" s="1292"/>
      <c r="X83" s="305"/>
      <c r="Y83" s="305"/>
      <c r="Z83" s="305"/>
      <c r="AA83" s="305"/>
      <c r="AB83" s="305"/>
      <c r="AC83" s="305"/>
      <c r="AD83" s="305"/>
      <c r="AE83" s="305"/>
      <c r="AF83" s="305"/>
      <c r="AG83" s="305"/>
      <c r="AH83" s="305"/>
      <c r="AI83" s="305"/>
    </row>
    <row r="84" spans="1:35">
      <c r="A84" s="1293"/>
      <c r="B84" s="1294"/>
      <c r="C84" s="1294"/>
      <c r="D84" s="1295"/>
      <c r="E84" s="1295"/>
      <c r="F84" s="1295"/>
      <c r="G84" s="1295"/>
      <c r="H84" s="1295"/>
      <c r="I84" s="1295"/>
      <c r="J84" s="1295"/>
      <c r="K84" s="1291"/>
      <c r="L84" s="1291"/>
      <c r="M84" s="1291"/>
      <c r="N84" s="1291"/>
      <c r="O84" s="1291"/>
      <c r="P84" s="1291"/>
      <c r="Q84" s="1291"/>
      <c r="R84" s="1291"/>
      <c r="S84" s="1291"/>
      <c r="T84" s="1291"/>
      <c r="U84" s="1291"/>
      <c r="V84" s="1291"/>
      <c r="W84" s="1292"/>
      <c r="X84" s="305"/>
      <c r="Y84" s="305"/>
      <c r="Z84" s="305"/>
      <c r="AA84" s="305"/>
      <c r="AB84" s="305"/>
      <c r="AC84" s="305"/>
      <c r="AD84" s="305"/>
      <c r="AE84" s="305"/>
      <c r="AF84" s="305"/>
      <c r="AG84" s="305"/>
      <c r="AH84" s="305"/>
      <c r="AI84" s="305"/>
    </row>
    <row r="85" spans="1:35">
      <c r="A85" s="1293"/>
      <c r="B85" s="1294"/>
      <c r="C85" s="1294"/>
      <c r="D85" s="1295"/>
      <c r="E85" s="1295"/>
      <c r="F85" s="1295"/>
      <c r="G85" s="1295"/>
      <c r="H85" s="1295"/>
      <c r="I85" s="1295"/>
      <c r="J85" s="1295"/>
      <c r="K85" s="1291"/>
      <c r="L85" s="1291"/>
      <c r="M85" s="1291"/>
      <c r="N85" s="1291"/>
      <c r="O85" s="1291"/>
      <c r="P85" s="1291"/>
      <c r="Q85" s="1291"/>
      <c r="R85" s="1291"/>
      <c r="S85" s="1291"/>
      <c r="T85" s="1291"/>
      <c r="U85" s="1291"/>
      <c r="V85" s="1291"/>
      <c r="W85" s="1292"/>
      <c r="X85" s="305"/>
      <c r="Y85" s="305"/>
      <c r="Z85" s="305"/>
      <c r="AA85" s="305"/>
      <c r="AB85" s="305"/>
      <c r="AC85" s="305"/>
      <c r="AD85" s="305"/>
      <c r="AE85" s="305"/>
      <c r="AF85" s="305"/>
      <c r="AG85" s="305"/>
      <c r="AH85" s="305"/>
      <c r="AI85" s="305"/>
    </row>
    <row r="86" spans="1:35">
      <c r="A86" s="1293"/>
      <c r="B86" s="1294"/>
      <c r="C86" s="1294"/>
      <c r="D86" s="1295"/>
      <c r="E86" s="1295"/>
      <c r="F86" s="1295"/>
      <c r="G86" s="1295"/>
      <c r="H86" s="1295"/>
      <c r="I86" s="1295"/>
      <c r="J86" s="1295"/>
      <c r="K86" s="1291"/>
      <c r="L86" s="1291"/>
      <c r="M86" s="1291"/>
      <c r="N86" s="1291"/>
      <c r="O86" s="1291"/>
      <c r="P86" s="1291"/>
      <c r="Q86" s="1291"/>
      <c r="R86" s="1291"/>
      <c r="S86" s="1291"/>
      <c r="T86" s="1291"/>
      <c r="U86" s="1291"/>
      <c r="V86" s="1291"/>
      <c r="W86" s="1292"/>
      <c r="X86" s="305"/>
      <c r="Y86" s="305"/>
      <c r="Z86" s="305"/>
      <c r="AA86" s="305"/>
      <c r="AB86" s="305"/>
      <c r="AC86" s="305"/>
      <c r="AD86" s="305"/>
      <c r="AE86" s="305"/>
      <c r="AF86" s="305"/>
      <c r="AG86" s="305"/>
      <c r="AH86" s="305"/>
      <c r="AI86" s="305"/>
    </row>
    <row r="87" spans="1:35">
      <c r="A87" s="1293"/>
      <c r="B87" s="1294"/>
      <c r="C87" s="1294"/>
      <c r="D87" s="1295"/>
      <c r="E87" s="1295"/>
      <c r="F87" s="1295"/>
      <c r="G87" s="1295"/>
      <c r="H87" s="1295"/>
      <c r="I87" s="1295"/>
      <c r="J87" s="1295"/>
      <c r="K87" s="1291"/>
      <c r="L87" s="1291"/>
      <c r="M87" s="1291"/>
      <c r="N87" s="1291"/>
      <c r="O87" s="1291"/>
      <c r="P87" s="1291"/>
      <c r="Q87" s="1291"/>
      <c r="R87" s="1291"/>
      <c r="S87" s="1291"/>
      <c r="T87" s="1291"/>
      <c r="U87" s="1291"/>
      <c r="V87" s="1291"/>
      <c r="W87" s="1292"/>
      <c r="X87" s="305"/>
      <c r="Y87" s="305"/>
      <c r="Z87" s="305"/>
      <c r="AA87" s="305"/>
      <c r="AB87" s="305"/>
      <c r="AC87" s="305"/>
      <c r="AD87" s="305"/>
      <c r="AE87" s="305"/>
      <c r="AF87" s="305"/>
      <c r="AG87" s="305"/>
      <c r="AH87" s="305"/>
      <c r="AI87" s="305"/>
    </row>
    <row r="88" spans="1:35">
      <c r="A88" s="1293"/>
      <c r="B88" s="1294"/>
      <c r="C88" s="1294"/>
      <c r="D88" s="1295"/>
      <c r="E88" s="1295"/>
      <c r="F88" s="1295"/>
      <c r="G88" s="1295"/>
      <c r="H88" s="1295"/>
      <c r="I88" s="1295"/>
      <c r="J88" s="1295"/>
      <c r="K88" s="1291"/>
      <c r="L88" s="1291"/>
      <c r="M88" s="1291"/>
      <c r="N88" s="1291"/>
      <c r="O88" s="1291"/>
      <c r="P88" s="1291"/>
      <c r="Q88" s="1291"/>
      <c r="R88" s="1291"/>
      <c r="S88" s="1291"/>
      <c r="T88" s="1291"/>
      <c r="U88" s="1291"/>
      <c r="V88" s="1291"/>
      <c r="W88" s="1292"/>
      <c r="X88" s="305"/>
      <c r="Y88" s="305"/>
      <c r="Z88" s="305"/>
      <c r="AA88" s="305"/>
      <c r="AB88" s="305"/>
      <c r="AC88" s="305"/>
      <c r="AD88" s="305"/>
      <c r="AE88" s="305"/>
      <c r="AF88" s="305"/>
      <c r="AG88" s="305"/>
      <c r="AH88" s="305"/>
      <c r="AI88" s="305"/>
    </row>
    <row r="89" spans="1:35">
      <c r="A89" s="1293"/>
      <c r="B89" s="1294"/>
      <c r="C89" s="1294"/>
      <c r="D89" s="1295"/>
      <c r="E89" s="1295"/>
      <c r="F89" s="1295"/>
      <c r="G89" s="1295"/>
      <c r="H89" s="1295"/>
      <c r="I89" s="1295"/>
      <c r="J89" s="1295"/>
      <c r="K89" s="1291"/>
      <c r="L89" s="1291"/>
      <c r="M89" s="1291"/>
      <c r="N89" s="1291"/>
      <c r="O89" s="1291"/>
      <c r="P89" s="1291"/>
      <c r="Q89" s="1291"/>
      <c r="R89" s="1291"/>
      <c r="S89" s="1291"/>
      <c r="T89" s="1291"/>
      <c r="U89" s="1291"/>
      <c r="V89" s="1291"/>
      <c r="W89" s="1292"/>
      <c r="X89" s="305"/>
      <c r="Y89" s="305"/>
      <c r="Z89" s="305"/>
      <c r="AA89" s="305"/>
      <c r="AB89" s="305"/>
      <c r="AC89" s="305"/>
      <c r="AD89" s="305"/>
      <c r="AE89" s="305"/>
      <c r="AF89" s="305"/>
      <c r="AG89" s="305"/>
      <c r="AH89" s="305"/>
      <c r="AI89" s="305"/>
    </row>
    <row r="90" spans="1:35">
      <c r="A90" s="1293"/>
      <c r="B90" s="1294"/>
      <c r="C90" s="1294"/>
      <c r="D90" s="1295"/>
      <c r="E90" s="1295"/>
      <c r="F90" s="1295"/>
      <c r="G90" s="1295"/>
      <c r="H90" s="1295"/>
      <c r="I90" s="1295"/>
      <c r="J90" s="1295"/>
      <c r="K90" s="1291"/>
      <c r="L90" s="1291"/>
      <c r="M90" s="1291"/>
      <c r="N90" s="1291"/>
      <c r="O90" s="1291"/>
      <c r="P90" s="1291"/>
      <c r="Q90" s="1291"/>
      <c r="R90" s="1291"/>
      <c r="S90" s="1291"/>
      <c r="T90" s="1291"/>
      <c r="U90" s="1291"/>
      <c r="V90" s="1291"/>
      <c r="W90" s="1292"/>
      <c r="X90" s="305"/>
      <c r="Y90" s="305"/>
      <c r="Z90" s="305"/>
      <c r="AA90" s="305"/>
      <c r="AB90" s="305"/>
      <c r="AC90" s="305"/>
      <c r="AD90" s="305"/>
      <c r="AE90" s="305"/>
      <c r="AF90" s="305"/>
      <c r="AG90" s="305"/>
      <c r="AH90" s="305"/>
      <c r="AI90" s="305"/>
    </row>
    <row r="91" spans="1:35">
      <c r="A91" s="1293"/>
      <c r="B91" s="1294"/>
      <c r="C91" s="1294"/>
      <c r="D91" s="1295"/>
      <c r="E91" s="1295"/>
      <c r="F91" s="1295"/>
      <c r="G91" s="1295"/>
      <c r="H91" s="1295"/>
      <c r="I91" s="1295"/>
      <c r="J91" s="1295"/>
      <c r="K91" s="1291"/>
      <c r="L91" s="1291"/>
      <c r="M91" s="1291"/>
      <c r="N91" s="1291"/>
      <c r="O91" s="1291"/>
      <c r="P91" s="1291"/>
      <c r="Q91" s="1291"/>
      <c r="R91" s="1291"/>
      <c r="S91" s="1291"/>
      <c r="T91" s="1291"/>
      <c r="U91" s="1291"/>
      <c r="V91" s="1291"/>
      <c r="W91" s="1292"/>
      <c r="X91" s="305"/>
      <c r="Y91" s="305"/>
      <c r="Z91" s="305"/>
      <c r="AA91" s="305"/>
      <c r="AB91" s="305"/>
      <c r="AC91" s="305"/>
      <c r="AD91" s="305"/>
      <c r="AE91" s="305"/>
      <c r="AF91" s="305"/>
      <c r="AG91" s="305"/>
      <c r="AH91" s="305"/>
      <c r="AI91" s="305"/>
    </row>
    <row r="92" spans="1:35">
      <c r="A92" s="1293"/>
      <c r="B92" s="1294"/>
      <c r="C92" s="1294"/>
      <c r="D92" s="1295"/>
      <c r="E92" s="1295"/>
      <c r="F92" s="1295"/>
      <c r="G92" s="1295"/>
      <c r="H92" s="1295"/>
      <c r="I92" s="1295"/>
      <c r="J92" s="1295"/>
      <c r="K92" s="1291"/>
      <c r="L92" s="1291"/>
      <c r="M92" s="1291"/>
      <c r="N92" s="1291"/>
      <c r="O92" s="1291"/>
      <c r="P92" s="1291"/>
      <c r="Q92" s="1291"/>
      <c r="R92" s="1291"/>
      <c r="S92" s="1291"/>
      <c r="T92" s="1291"/>
      <c r="U92" s="1291"/>
      <c r="V92" s="1291"/>
      <c r="W92" s="1292"/>
      <c r="X92" s="305"/>
      <c r="Y92" s="305"/>
      <c r="Z92" s="305"/>
      <c r="AA92" s="305"/>
      <c r="AB92" s="305"/>
      <c r="AC92" s="305"/>
      <c r="AD92" s="305"/>
      <c r="AE92" s="305"/>
      <c r="AF92" s="305"/>
      <c r="AG92" s="305"/>
      <c r="AH92" s="305"/>
      <c r="AI92" s="305"/>
    </row>
    <row r="93" spans="1:35">
      <c r="A93" s="1293"/>
      <c r="B93" s="1294"/>
      <c r="C93" s="1294"/>
      <c r="D93" s="1295"/>
      <c r="E93" s="1295"/>
      <c r="F93" s="1295"/>
      <c r="G93" s="1295"/>
      <c r="H93" s="1295"/>
      <c r="I93" s="1295"/>
      <c r="J93" s="1295"/>
      <c r="K93" s="1291"/>
      <c r="L93" s="1291"/>
      <c r="M93" s="1291"/>
      <c r="N93" s="1291"/>
      <c r="O93" s="1291"/>
      <c r="P93" s="1291"/>
      <c r="Q93" s="1291"/>
      <c r="R93" s="1291"/>
      <c r="S93" s="1291"/>
      <c r="T93" s="1291"/>
      <c r="U93" s="1291"/>
      <c r="V93" s="1291"/>
      <c r="W93" s="1292"/>
      <c r="X93" s="305"/>
      <c r="Y93" s="305"/>
      <c r="Z93" s="305"/>
      <c r="AA93" s="305"/>
      <c r="AB93" s="305"/>
      <c r="AC93" s="305"/>
      <c r="AD93" s="305"/>
      <c r="AE93" s="305"/>
      <c r="AF93" s="305"/>
      <c r="AG93" s="305"/>
      <c r="AH93" s="305"/>
      <c r="AI93" s="305"/>
    </row>
    <row r="94" spans="1:35">
      <c r="A94" s="1293"/>
      <c r="B94" s="1294"/>
      <c r="C94" s="1294"/>
      <c r="D94" s="1295"/>
      <c r="E94" s="1295"/>
      <c r="F94" s="1295"/>
      <c r="G94" s="1295"/>
      <c r="H94" s="1295"/>
      <c r="I94" s="1295"/>
      <c r="J94" s="1295"/>
      <c r="K94" s="1291"/>
      <c r="L94" s="1291"/>
      <c r="M94" s="1291"/>
      <c r="N94" s="1291"/>
      <c r="O94" s="1291"/>
      <c r="P94" s="1291"/>
      <c r="Q94" s="1291"/>
      <c r="R94" s="1291"/>
      <c r="S94" s="1291"/>
      <c r="T94" s="1291"/>
      <c r="U94" s="1291"/>
      <c r="V94" s="1291"/>
      <c r="W94" s="1292"/>
      <c r="X94" s="305"/>
      <c r="Y94" s="305"/>
      <c r="Z94" s="305"/>
      <c r="AA94" s="305"/>
      <c r="AB94" s="305"/>
      <c r="AC94" s="305"/>
      <c r="AD94" s="305"/>
      <c r="AE94" s="305"/>
      <c r="AF94" s="305"/>
      <c r="AG94" s="305"/>
      <c r="AH94" s="305"/>
      <c r="AI94" s="305"/>
    </row>
    <row r="95" spans="1:35">
      <c r="A95" s="1293"/>
      <c r="B95" s="1294"/>
      <c r="C95" s="1294"/>
      <c r="D95" s="1295"/>
      <c r="E95" s="1295"/>
      <c r="F95" s="1295"/>
      <c r="G95" s="1295"/>
      <c r="H95" s="1295"/>
      <c r="I95" s="1295"/>
      <c r="J95" s="1295"/>
      <c r="K95" s="1291"/>
      <c r="L95" s="1291"/>
      <c r="M95" s="1291"/>
      <c r="N95" s="1291"/>
      <c r="O95" s="1291"/>
      <c r="P95" s="1291"/>
      <c r="Q95" s="1291"/>
      <c r="R95" s="1291"/>
      <c r="S95" s="1291"/>
      <c r="T95" s="1291"/>
      <c r="U95" s="1291"/>
      <c r="V95" s="1291"/>
      <c r="W95" s="1292"/>
      <c r="X95" s="305"/>
      <c r="Y95" s="305"/>
      <c r="Z95" s="305"/>
      <c r="AA95" s="305"/>
      <c r="AB95" s="305"/>
      <c r="AC95" s="305"/>
      <c r="AD95" s="305"/>
      <c r="AE95" s="305"/>
      <c r="AF95" s="305"/>
      <c r="AG95" s="305"/>
      <c r="AH95" s="305"/>
      <c r="AI95" s="305"/>
    </row>
    <row r="96" spans="1:35">
      <c r="A96" s="1293"/>
      <c r="B96" s="1294"/>
      <c r="C96" s="1294"/>
      <c r="D96" s="1295"/>
      <c r="E96" s="1295"/>
      <c r="F96" s="1295"/>
      <c r="G96" s="1295"/>
      <c r="H96" s="1295"/>
      <c r="I96" s="1295"/>
      <c r="J96" s="1295"/>
      <c r="K96" s="1291"/>
      <c r="L96" s="1291"/>
      <c r="M96" s="1291"/>
      <c r="N96" s="1291"/>
      <c r="O96" s="1291"/>
      <c r="P96" s="1291"/>
      <c r="Q96" s="1291"/>
      <c r="R96" s="1291"/>
      <c r="S96" s="1291"/>
      <c r="T96" s="1291"/>
      <c r="U96" s="1291"/>
      <c r="V96" s="1291"/>
      <c r="W96" s="1292"/>
      <c r="X96" s="305"/>
      <c r="Y96" s="305"/>
      <c r="Z96" s="305"/>
      <c r="AA96" s="305"/>
      <c r="AB96" s="305"/>
      <c r="AC96" s="305"/>
      <c r="AD96" s="305"/>
      <c r="AE96" s="305"/>
      <c r="AF96" s="305"/>
      <c r="AG96" s="305"/>
      <c r="AH96" s="305"/>
      <c r="AI96" s="305"/>
    </row>
    <row r="97" spans="1:35">
      <c r="A97" s="1293"/>
      <c r="B97" s="1294"/>
      <c r="C97" s="1294"/>
      <c r="D97" s="1295"/>
      <c r="E97" s="1295"/>
      <c r="F97" s="1295"/>
      <c r="G97" s="1295"/>
      <c r="H97" s="1295"/>
      <c r="I97" s="1295"/>
      <c r="J97" s="1295"/>
      <c r="K97" s="1291"/>
      <c r="L97" s="1291"/>
      <c r="M97" s="1291"/>
      <c r="N97" s="1291"/>
      <c r="O97" s="1291"/>
      <c r="P97" s="1291"/>
      <c r="Q97" s="1291"/>
      <c r="R97" s="1291"/>
      <c r="S97" s="1291"/>
      <c r="T97" s="1291"/>
      <c r="U97" s="1291"/>
      <c r="V97" s="1291"/>
      <c r="W97" s="1292"/>
      <c r="X97" s="305"/>
      <c r="Y97" s="305"/>
      <c r="Z97" s="305"/>
      <c r="AA97" s="305"/>
      <c r="AB97" s="305"/>
      <c r="AC97" s="305"/>
      <c r="AD97" s="305"/>
      <c r="AE97" s="305"/>
      <c r="AF97" s="305"/>
      <c r="AG97" s="305"/>
      <c r="AH97" s="305"/>
      <c r="AI97" s="305"/>
    </row>
    <row r="98" spans="1:35">
      <c r="A98" s="1293"/>
      <c r="B98" s="1294"/>
      <c r="C98" s="1294"/>
      <c r="D98" s="1295"/>
      <c r="E98" s="1295"/>
      <c r="F98" s="1295"/>
      <c r="G98" s="1295"/>
      <c r="H98" s="1295"/>
      <c r="I98" s="1295"/>
      <c r="J98" s="1295"/>
      <c r="K98" s="1291"/>
      <c r="L98" s="1291"/>
      <c r="M98" s="1291"/>
      <c r="N98" s="1291"/>
      <c r="O98" s="1291"/>
      <c r="P98" s="1291"/>
      <c r="Q98" s="1291"/>
      <c r="R98" s="1291"/>
      <c r="S98" s="1291"/>
      <c r="T98" s="1291"/>
      <c r="U98" s="1291"/>
      <c r="V98" s="1291"/>
      <c r="W98" s="1292"/>
      <c r="X98" s="305"/>
      <c r="Y98" s="305"/>
      <c r="Z98" s="305"/>
      <c r="AA98" s="305"/>
      <c r="AB98" s="305"/>
      <c r="AC98" s="305"/>
      <c r="AD98" s="305"/>
      <c r="AE98" s="305"/>
      <c r="AF98" s="305"/>
      <c r="AG98" s="305"/>
      <c r="AH98" s="305"/>
      <c r="AI98" s="305"/>
    </row>
    <row r="99" spans="1:35">
      <c r="A99" s="1293"/>
      <c r="B99" s="1294"/>
      <c r="C99" s="1294"/>
      <c r="D99" s="1295"/>
      <c r="E99" s="1295"/>
      <c r="F99" s="1295"/>
      <c r="G99" s="1295"/>
      <c r="H99" s="1295"/>
      <c r="I99" s="1295"/>
      <c r="J99" s="1295"/>
      <c r="K99" s="1291"/>
      <c r="L99" s="1291"/>
      <c r="M99" s="1291"/>
      <c r="N99" s="1291"/>
      <c r="O99" s="1291"/>
      <c r="P99" s="1291"/>
      <c r="Q99" s="1291"/>
      <c r="R99" s="1291"/>
      <c r="S99" s="1291"/>
      <c r="T99" s="1291"/>
      <c r="U99" s="1291"/>
      <c r="V99" s="1291"/>
      <c r="W99" s="1292"/>
      <c r="X99" s="305"/>
      <c r="Y99" s="305"/>
      <c r="Z99" s="305"/>
      <c r="AA99" s="305"/>
      <c r="AB99" s="305"/>
      <c r="AC99" s="305"/>
      <c r="AD99" s="305"/>
      <c r="AE99" s="305"/>
      <c r="AF99" s="305"/>
      <c r="AG99" s="305"/>
      <c r="AH99" s="305"/>
      <c r="AI99" s="305"/>
    </row>
  </sheetData>
  <mergeCells count="1">
    <mergeCell ref="H6:I6"/>
  </mergeCells>
  <pageMargins left="0.7" right="0.7" top="0.75" bottom="0.75" header="0.3" footer="0.3"/>
  <pageSetup scale="37" orientation="landscape" r:id="rId1"/>
  <legacy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F83"/>
  <sheetViews>
    <sheetView topLeftCell="A39" workbookViewId="0">
      <selection activeCell="F64" sqref="F64"/>
    </sheetView>
  </sheetViews>
  <sheetFormatPr defaultRowHeight="15"/>
  <cols>
    <col min="1" max="1" width="4" customWidth="1"/>
    <col min="2" max="2" width="17.42578125" customWidth="1"/>
    <col min="3" max="3" width="46" customWidth="1"/>
    <col min="4" max="4" width="13.5703125" customWidth="1"/>
    <col min="6" max="6" width="50.7109375" customWidth="1"/>
  </cols>
  <sheetData>
    <row r="1" spans="1:6" ht="15.75">
      <c r="A1" s="336" t="s">
        <v>2</v>
      </c>
      <c r="B1" s="309"/>
      <c r="C1" s="309"/>
      <c r="D1" s="309"/>
      <c r="E1" s="309"/>
      <c r="F1" s="305"/>
    </row>
    <row r="2" spans="1:6" ht="15.75">
      <c r="A2" s="336" t="s">
        <v>1324</v>
      </c>
      <c r="B2" s="309"/>
      <c r="C2" s="309"/>
      <c r="D2" s="309"/>
      <c r="E2" s="309"/>
      <c r="F2" s="305"/>
    </row>
    <row r="3" spans="1:6">
      <c r="A3" s="305"/>
      <c r="B3" s="305"/>
      <c r="C3" s="305"/>
      <c r="D3" s="305"/>
      <c r="E3" s="305"/>
      <c r="F3" s="305"/>
    </row>
    <row r="4" spans="1:6">
      <c r="A4" s="305"/>
      <c r="B4" s="305"/>
      <c r="C4" s="305"/>
      <c r="D4" s="305"/>
      <c r="E4" s="305"/>
      <c r="F4" s="305"/>
    </row>
    <row r="5" spans="1:6">
      <c r="A5" s="305"/>
      <c r="B5" s="341" t="s">
        <v>1325</v>
      </c>
      <c r="C5" s="338" t="s">
        <v>284</v>
      </c>
      <c r="D5" s="1296" t="s">
        <v>2174</v>
      </c>
      <c r="E5" s="1236"/>
      <c r="F5" s="305"/>
    </row>
    <row r="6" spans="1:6">
      <c r="A6" s="305"/>
      <c r="B6" s="1868">
        <v>4265000</v>
      </c>
      <c r="C6" s="1299" t="s">
        <v>1579</v>
      </c>
      <c r="D6" s="475">
        <v>356.58</v>
      </c>
      <c r="E6" s="305"/>
      <c r="F6" s="305"/>
    </row>
    <row r="7" spans="1:6">
      <c r="A7" s="305"/>
      <c r="B7" s="1868">
        <v>5020000</v>
      </c>
      <c r="C7" s="1299" t="s">
        <v>1580</v>
      </c>
      <c r="D7" s="475">
        <v>842.46</v>
      </c>
      <c r="E7" s="305"/>
      <c r="F7" s="305"/>
    </row>
    <row r="8" spans="1:6">
      <c r="A8" s="305"/>
      <c r="B8" s="1868">
        <v>5060000</v>
      </c>
      <c r="C8" s="1299" t="s">
        <v>1581</v>
      </c>
      <c r="D8" s="475">
        <v>165452.64000000001</v>
      </c>
      <c r="E8" s="305"/>
      <c r="F8" s="305"/>
    </row>
    <row r="9" spans="1:6">
      <c r="A9" s="305"/>
      <c r="B9" s="1868">
        <v>5063000</v>
      </c>
      <c r="C9" s="1299" t="s">
        <v>1582</v>
      </c>
      <c r="D9" s="475">
        <v>-21338.11</v>
      </c>
      <c r="E9" s="305"/>
      <c r="F9" s="305"/>
    </row>
    <row r="10" spans="1:6">
      <c r="A10" s="305"/>
      <c r="B10" s="1868">
        <v>5120000</v>
      </c>
      <c r="C10" s="1299" t="s">
        <v>1583</v>
      </c>
      <c r="D10" s="475">
        <v>2852.63</v>
      </c>
      <c r="E10" s="305"/>
      <c r="F10" s="305"/>
    </row>
    <row r="11" spans="1:6">
      <c r="A11" s="305"/>
      <c r="B11" s="1868">
        <v>5140000</v>
      </c>
      <c r="C11" s="1299" t="s">
        <v>1584</v>
      </c>
      <c r="D11" s="475">
        <v>713.16</v>
      </c>
      <c r="E11" s="305"/>
      <c r="F11" s="305"/>
    </row>
    <row r="12" spans="1:6">
      <c r="A12" s="305"/>
      <c r="B12" s="1868">
        <v>5350000</v>
      </c>
      <c r="C12" s="1299" t="s">
        <v>1585</v>
      </c>
      <c r="D12" s="475">
        <v>21751.33</v>
      </c>
      <c r="E12" s="305"/>
      <c r="F12" s="305"/>
    </row>
    <row r="13" spans="1:6">
      <c r="A13" s="305"/>
      <c r="B13" s="1868">
        <v>5390000</v>
      </c>
      <c r="C13" s="1299" t="s">
        <v>1586</v>
      </c>
      <c r="D13" s="475">
        <v>10568.14</v>
      </c>
      <c r="E13" s="305"/>
      <c r="F13" s="305"/>
    </row>
    <row r="14" spans="1:6">
      <c r="A14" s="305"/>
      <c r="B14" s="1868">
        <v>5480000</v>
      </c>
      <c r="C14" s="1299" t="s">
        <v>1587</v>
      </c>
      <c r="D14" s="475">
        <v>6775</v>
      </c>
      <c r="E14" s="305"/>
      <c r="F14" s="305"/>
    </row>
    <row r="15" spans="1:6">
      <c r="A15" s="305"/>
      <c r="B15" s="1868">
        <v>5490000</v>
      </c>
      <c r="C15" s="1299" t="s">
        <v>1588</v>
      </c>
      <c r="D15" s="475">
        <v>7309.9</v>
      </c>
      <c r="E15" s="305"/>
      <c r="F15" s="305"/>
    </row>
    <row r="16" spans="1:6">
      <c r="A16" s="305"/>
      <c r="B16" s="1868">
        <v>5530000</v>
      </c>
      <c r="C16" s="1299" t="s">
        <v>1589</v>
      </c>
      <c r="D16" s="475">
        <v>3030.93</v>
      </c>
      <c r="E16" s="305"/>
      <c r="F16" s="305"/>
    </row>
    <row r="17" spans="1:6">
      <c r="A17" s="305"/>
      <c r="B17" s="1868">
        <v>5560000</v>
      </c>
      <c r="C17" s="1299" t="s">
        <v>1590</v>
      </c>
      <c r="D17" s="475">
        <v>1069.74</v>
      </c>
      <c r="E17" s="305"/>
      <c r="F17" s="305"/>
    </row>
    <row r="18" spans="1:6">
      <c r="A18" s="305"/>
      <c r="B18" s="1868">
        <v>5570000</v>
      </c>
      <c r="C18" s="1299" t="s">
        <v>1591</v>
      </c>
      <c r="D18" s="475">
        <v>42611.18</v>
      </c>
      <c r="E18" s="305"/>
      <c r="F18" s="305"/>
    </row>
    <row r="19" spans="1:6">
      <c r="A19" s="305"/>
      <c r="B19" s="1868">
        <v>5600000</v>
      </c>
      <c r="C19" s="1299" t="s">
        <v>1585</v>
      </c>
      <c r="D19" s="475">
        <v>40110.660000000003</v>
      </c>
      <c r="E19" s="305"/>
      <c r="F19" s="305"/>
    </row>
    <row r="20" spans="1:6">
      <c r="A20" s="305"/>
      <c r="B20" s="1868">
        <v>5612000</v>
      </c>
      <c r="C20" s="1299" t="s">
        <v>1592</v>
      </c>
      <c r="D20" s="475">
        <v>6775.03</v>
      </c>
      <c r="E20" s="305"/>
      <c r="F20" s="305"/>
    </row>
    <row r="21" spans="1:6">
      <c r="A21" s="305"/>
      <c r="B21" s="1868">
        <v>5615000</v>
      </c>
      <c r="C21" s="1299" t="s">
        <v>1593</v>
      </c>
      <c r="D21" s="475">
        <v>3565.79</v>
      </c>
      <c r="E21" s="305"/>
      <c r="F21" s="305"/>
    </row>
    <row r="22" spans="1:6">
      <c r="A22" s="305"/>
      <c r="B22" s="1868">
        <v>5660000</v>
      </c>
      <c r="C22" s="1299" t="s">
        <v>2175</v>
      </c>
      <c r="D22" s="475">
        <v>0.17</v>
      </c>
      <c r="E22" s="305"/>
      <c r="F22" s="305"/>
    </row>
    <row r="23" spans="1:6">
      <c r="A23" s="305"/>
      <c r="B23" s="1868">
        <v>5680000</v>
      </c>
      <c r="C23" s="1299" t="s">
        <v>1594</v>
      </c>
      <c r="D23" s="475">
        <v>1818.7</v>
      </c>
      <c r="E23" s="305"/>
      <c r="F23" s="305"/>
    </row>
    <row r="24" spans="1:6">
      <c r="A24" s="305"/>
      <c r="B24" s="1868">
        <v>5700000</v>
      </c>
      <c r="C24" s="1299" t="s">
        <v>2176</v>
      </c>
      <c r="D24" s="475">
        <v>-70.87</v>
      </c>
      <c r="E24" s="305"/>
      <c r="F24" s="305"/>
    </row>
    <row r="25" spans="1:6">
      <c r="A25" s="305"/>
      <c r="B25" s="1868">
        <v>5710000</v>
      </c>
      <c r="C25" s="1299" t="s">
        <v>1595</v>
      </c>
      <c r="D25" s="475">
        <v>-56.73</v>
      </c>
      <c r="E25" s="305"/>
      <c r="F25" s="305"/>
    </row>
    <row r="26" spans="1:6">
      <c r="A26" s="305"/>
      <c r="B26" s="1868">
        <v>5800000</v>
      </c>
      <c r="C26" s="1299" t="s">
        <v>1585</v>
      </c>
      <c r="D26" s="475">
        <v>37689.17</v>
      </c>
      <c r="E26" s="305"/>
      <c r="F26" s="305"/>
    </row>
    <row r="27" spans="1:6">
      <c r="A27" s="305"/>
      <c r="B27" s="1868">
        <v>5810000</v>
      </c>
      <c r="C27" s="1299" t="s">
        <v>1596</v>
      </c>
      <c r="D27" s="475">
        <v>13281.85</v>
      </c>
      <c r="E27" s="305"/>
      <c r="F27" s="305"/>
    </row>
    <row r="28" spans="1:6">
      <c r="A28" s="305"/>
      <c r="B28" s="1868">
        <v>5850000</v>
      </c>
      <c r="C28" s="1299" t="s">
        <v>1597</v>
      </c>
      <c r="D28" s="475">
        <v>713.16</v>
      </c>
      <c r="E28" s="305"/>
      <c r="F28" s="305"/>
    </row>
    <row r="29" spans="1:6">
      <c r="A29" s="305"/>
      <c r="B29" s="1868">
        <v>5860000</v>
      </c>
      <c r="C29" s="1299" t="s">
        <v>2177</v>
      </c>
      <c r="D29" s="475">
        <v>167.56</v>
      </c>
      <c r="E29" s="305"/>
      <c r="F29" s="305"/>
    </row>
    <row r="30" spans="1:6">
      <c r="A30" s="305"/>
      <c r="B30" s="1868">
        <v>5880000</v>
      </c>
      <c r="C30" s="1299" t="s">
        <v>1598</v>
      </c>
      <c r="D30" s="475">
        <v>14948.68</v>
      </c>
      <c r="E30" s="305"/>
      <c r="F30" s="305"/>
    </row>
    <row r="31" spans="1:6">
      <c r="A31" s="305"/>
      <c r="B31" s="1868">
        <v>5900000</v>
      </c>
      <c r="C31" s="1299" t="s">
        <v>1599</v>
      </c>
      <c r="D31" s="475">
        <v>24144.76</v>
      </c>
      <c r="E31" s="305"/>
      <c r="F31" s="305"/>
    </row>
    <row r="32" spans="1:6">
      <c r="A32" s="305"/>
      <c r="B32" s="1868">
        <v>5920000</v>
      </c>
      <c r="C32" s="1299" t="s">
        <v>1600</v>
      </c>
      <c r="D32" s="475">
        <v>5422.66</v>
      </c>
      <c r="E32" s="305"/>
      <c r="F32" s="305"/>
    </row>
    <row r="33" spans="1:6">
      <c r="A33" s="305"/>
      <c r="B33" s="1868">
        <v>5930000</v>
      </c>
      <c r="C33" s="1299" t="s">
        <v>1595</v>
      </c>
      <c r="D33" s="475">
        <v>5686.61</v>
      </c>
      <c r="E33" s="305"/>
      <c r="F33" s="305"/>
    </row>
    <row r="34" spans="1:6">
      <c r="A34" s="305"/>
      <c r="B34" s="1868">
        <v>5950000</v>
      </c>
      <c r="C34" s="1299" t="s">
        <v>1601</v>
      </c>
      <c r="D34" s="475">
        <v>2496.06</v>
      </c>
      <c r="E34" s="305"/>
      <c r="F34" s="305"/>
    </row>
    <row r="35" spans="1:6">
      <c r="A35" s="305"/>
      <c r="B35" s="1868">
        <v>5970000</v>
      </c>
      <c r="C35" s="1299" t="s">
        <v>1602</v>
      </c>
      <c r="D35" s="475">
        <v>1961.19</v>
      </c>
      <c r="E35" s="305"/>
      <c r="F35" s="305"/>
    </row>
    <row r="36" spans="1:6">
      <c r="A36" s="305"/>
      <c r="B36" s="1868">
        <v>5980000</v>
      </c>
      <c r="C36" s="1299" t="s">
        <v>1603</v>
      </c>
      <c r="D36" s="475">
        <v>2139.48</v>
      </c>
      <c r="E36" s="305"/>
      <c r="F36" s="305"/>
    </row>
    <row r="37" spans="1:6">
      <c r="A37" s="305"/>
      <c r="B37" s="1868">
        <v>7071000</v>
      </c>
      <c r="C37" s="1299" t="s">
        <v>1604</v>
      </c>
      <c r="D37" s="475">
        <v>171957.44</v>
      </c>
      <c r="E37" s="305"/>
      <c r="F37" s="305"/>
    </row>
    <row r="38" spans="1:6">
      <c r="A38" s="305"/>
      <c r="B38" s="1868">
        <v>7072000</v>
      </c>
      <c r="C38" s="1299" t="s">
        <v>1605</v>
      </c>
      <c r="D38" s="475">
        <v>101590.32</v>
      </c>
      <c r="E38" s="305"/>
      <c r="F38" s="305"/>
    </row>
    <row r="39" spans="1:6">
      <c r="A39" s="305"/>
      <c r="B39" s="1868">
        <v>7081000</v>
      </c>
      <c r="C39" s="1299" t="s">
        <v>1606</v>
      </c>
      <c r="D39" s="475">
        <v>13371.77</v>
      </c>
      <c r="E39" s="305"/>
      <c r="F39" s="305"/>
    </row>
    <row r="40" spans="1:6">
      <c r="A40" s="305"/>
      <c r="B40" s="1868">
        <v>7082000</v>
      </c>
      <c r="C40" s="1299" t="s">
        <v>1607</v>
      </c>
      <c r="D40" s="475">
        <v>7458</v>
      </c>
      <c r="E40" s="305"/>
      <c r="F40" s="305"/>
    </row>
    <row r="41" spans="1:6">
      <c r="A41" s="305"/>
      <c r="B41" s="1868">
        <v>9010000</v>
      </c>
      <c r="C41" s="1299" t="s">
        <v>1608</v>
      </c>
      <c r="D41" s="475">
        <v>22787.17</v>
      </c>
      <c r="E41" s="305"/>
      <c r="F41" s="305"/>
    </row>
    <row r="42" spans="1:6">
      <c r="A42" s="305"/>
      <c r="B42" s="1868">
        <v>9020000</v>
      </c>
      <c r="C42" s="1299" t="s">
        <v>1609</v>
      </c>
      <c r="D42" s="475">
        <v>1604.84</v>
      </c>
      <c r="E42" s="305"/>
      <c r="F42" s="305"/>
    </row>
    <row r="43" spans="1:6">
      <c r="A43" s="305"/>
      <c r="B43" s="1868">
        <v>9030000</v>
      </c>
      <c r="C43" s="1299" t="s">
        <v>1610</v>
      </c>
      <c r="D43" s="475">
        <v>2139.4699999999998</v>
      </c>
      <c r="E43" s="305"/>
      <c r="F43" s="305"/>
    </row>
    <row r="44" spans="1:6">
      <c r="A44" s="305"/>
      <c r="B44" s="1868">
        <v>9031000</v>
      </c>
      <c r="C44" s="1299" t="s">
        <v>1611</v>
      </c>
      <c r="D44" s="475">
        <v>2139.4699999999998</v>
      </c>
      <c r="E44" s="305"/>
      <c r="F44" s="305"/>
    </row>
    <row r="45" spans="1:6">
      <c r="A45" s="305"/>
      <c r="B45" s="1868">
        <v>9032000</v>
      </c>
      <c r="C45" s="1299" t="s">
        <v>1612</v>
      </c>
      <c r="D45" s="475">
        <v>4457.24</v>
      </c>
      <c r="E45" s="305"/>
      <c r="F45" s="305"/>
    </row>
    <row r="46" spans="1:6">
      <c r="A46" s="305"/>
      <c r="B46" s="1868">
        <v>9033000</v>
      </c>
      <c r="C46" s="1299" t="s">
        <v>1613</v>
      </c>
      <c r="D46" s="475">
        <v>32209.78</v>
      </c>
      <c r="E46" s="305"/>
      <c r="F46" s="305"/>
    </row>
    <row r="47" spans="1:6">
      <c r="A47" s="305"/>
      <c r="B47" s="1868">
        <v>9036000</v>
      </c>
      <c r="C47" s="1299" t="s">
        <v>1614</v>
      </c>
      <c r="D47" s="475">
        <v>19349.82</v>
      </c>
      <c r="E47" s="305"/>
      <c r="F47" s="305"/>
    </row>
    <row r="48" spans="1:6">
      <c r="A48" s="305"/>
      <c r="B48" s="1868">
        <v>9081000</v>
      </c>
      <c r="C48" s="1299" t="s">
        <v>1877</v>
      </c>
      <c r="D48" s="475">
        <v>1069.74</v>
      </c>
      <c r="E48" s="305"/>
      <c r="F48" s="305"/>
    </row>
    <row r="49" spans="1:6">
      <c r="A49" s="305"/>
      <c r="B49" s="1868">
        <v>9084000</v>
      </c>
      <c r="C49" s="1299" t="s">
        <v>1615</v>
      </c>
      <c r="D49" s="475">
        <v>5526.99</v>
      </c>
      <c r="E49" s="305"/>
      <c r="F49" s="305"/>
    </row>
    <row r="50" spans="1:6">
      <c r="A50" s="305"/>
      <c r="B50" s="1868">
        <v>9086000</v>
      </c>
      <c r="C50" s="1299" t="s">
        <v>1616</v>
      </c>
      <c r="D50" s="475">
        <v>7131.6</v>
      </c>
      <c r="E50" s="305"/>
      <c r="F50" s="305"/>
    </row>
    <row r="51" spans="1:6">
      <c r="A51" s="305"/>
      <c r="B51" s="1868">
        <v>9090000</v>
      </c>
      <c r="C51" s="1299" t="s">
        <v>1617</v>
      </c>
      <c r="D51" s="475">
        <v>2852.63</v>
      </c>
      <c r="E51" s="305"/>
      <c r="F51" s="305"/>
    </row>
    <row r="52" spans="1:6">
      <c r="A52" s="305"/>
      <c r="B52" s="1868">
        <v>9200000</v>
      </c>
      <c r="C52" s="1299" t="s">
        <v>1618</v>
      </c>
      <c r="D52" s="475">
        <v>101430.8</v>
      </c>
      <c r="E52" s="305"/>
      <c r="F52" s="305"/>
    </row>
    <row r="53" spans="1:6">
      <c r="A53" s="305"/>
      <c r="B53" s="1868">
        <v>9350000</v>
      </c>
      <c r="C53" s="1299" t="s">
        <v>2178</v>
      </c>
      <c r="D53" s="475">
        <v>-3.14</v>
      </c>
      <c r="E53" s="305"/>
      <c r="F53" s="305"/>
    </row>
    <row r="54" spans="1:6" ht="15.75" thickBot="1">
      <c r="A54" s="305"/>
      <c r="B54" s="1297"/>
      <c r="C54" s="1143" t="s">
        <v>1326</v>
      </c>
      <c r="D54" s="1298">
        <f>SUM(D6:D53)</f>
        <v>899863.45</v>
      </c>
      <c r="E54" s="305"/>
      <c r="F54" s="305"/>
    </row>
    <row r="55" spans="1:6" ht="15.75" thickTop="1">
      <c r="A55" s="305"/>
      <c r="B55" s="305"/>
      <c r="C55" s="305"/>
      <c r="D55" s="305"/>
      <c r="E55" s="305"/>
      <c r="F55" s="305"/>
    </row>
    <row r="56" spans="1:6">
      <c r="A56" s="305"/>
      <c r="B56" s="1422" t="s">
        <v>1327</v>
      </c>
      <c r="C56" s="1839" t="s">
        <v>2179</v>
      </c>
      <c r="D56" s="1299"/>
      <c r="E56" s="305"/>
      <c r="F56" s="305"/>
    </row>
    <row r="57" spans="1:6">
      <c r="A57" s="305"/>
      <c r="B57" s="1422"/>
      <c r="C57" s="1839" t="s">
        <v>1567</v>
      </c>
      <c r="D57" s="1299"/>
      <c r="E57" s="305"/>
      <c r="F57" s="305"/>
    </row>
    <row r="58" spans="1:6">
      <c r="A58" s="305"/>
      <c r="B58" s="1422"/>
      <c r="C58" s="1839" t="s">
        <v>1328</v>
      </c>
      <c r="D58" s="1299"/>
      <c r="E58" s="305"/>
      <c r="F58" s="305"/>
    </row>
    <row r="59" spans="1:6">
      <c r="A59" s="305"/>
      <c r="C59" s="1839" t="s">
        <v>1329</v>
      </c>
      <c r="D59" s="1299"/>
      <c r="E59" s="305"/>
      <c r="F59" s="305"/>
    </row>
    <row r="60" spans="1:6">
      <c r="A60" s="305"/>
      <c r="C60" s="1839" t="s">
        <v>1330</v>
      </c>
      <c r="D60" s="1299"/>
      <c r="E60" s="305"/>
      <c r="F60" s="305"/>
    </row>
    <row r="61" spans="1:6">
      <c r="A61" s="305"/>
      <c r="C61" s="1839" t="s">
        <v>1331</v>
      </c>
      <c r="D61" s="1299"/>
      <c r="E61" s="305"/>
      <c r="F61" s="305"/>
    </row>
    <row r="62" spans="1:6">
      <c r="A62" s="305"/>
      <c r="C62" s="1839" t="s">
        <v>2180</v>
      </c>
      <c r="D62" s="1299"/>
      <c r="E62" s="305"/>
      <c r="F62" s="305"/>
    </row>
    <row r="63" spans="1:6">
      <c r="A63" s="305"/>
      <c r="C63" s="1839" t="s">
        <v>2181</v>
      </c>
      <c r="D63" s="1299"/>
      <c r="E63" s="305"/>
      <c r="F63" s="305"/>
    </row>
    <row r="64" spans="1:6">
      <c r="A64" s="305"/>
      <c r="C64" s="1839" t="s">
        <v>1332</v>
      </c>
      <c r="D64" s="1299"/>
      <c r="E64" s="305"/>
      <c r="F64" s="305"/>
    </row>
    <row r="65" spans="1:6">
      <c r="A65" s="305"/>
      <c r="C65" s="1840"/>
      <c r="E65" s="305"/>
      <c r="F65" s="305"/>
    </row>
    <row r="66" spans="1:6">
      <c r="A66" s="305"/>
      <c r="B66" s="305"/>
      <c r="C66" s="305"/>
      <c r="D66" s="305"/>
      <c r="E66" s="305"/>
      <c r="F66" s="305"/>
    </row>
    <row r="67" spans="1:6">
      <c r="A67" s="305"/>
      <c r="B67" s="305"/>
      <c r="C67" s="305"/>
      <c r="D67" s="305"/>
      <c r="E67" s="305"/>
      <c r="F67" s="305"/>
    </row>
    <row r="68" spans="1:6">
      <c r="A68" s="305"/>
      <c r="B68" s="305"/>
      <c r="C68" s="305"/>
      <c r="D68" s="305"/>
      <c r="E68" s="305"/>
      <c r="F68" s="305"/>
    </row>
    <row r="69" spans="1:6">
      <c r="A69" s="305"/>
      <c r="B69" s="305"/>
      <c r="C69" s="305"/>
      <c r="D69" s="305"/>
      <c r="E69" s="305"/>
      <c r="F69" s="305"/>
    </row>
    <row r="70" spans="1:6">
      <c r="A70" s="305"/>
      <c r="B70" s="305"/>
      <c r="C70" s="305"/>
      <c r="D70" s="305"/>
      <c r="E70" s="305"/>
      <c r="F70" s="305"/>
    </row>
    <row r="71" spans="1:6">
      <c r="A71" s="305"/>
      <c r="B71" s="305"/>
      <c r="C71" s="305"/>
      <c r="D71" s="305"/>
      <c r="E71" s="305"/>
      <c r="F71" s="305"/>
    </row>
    <row r="72" spans="1:6">
      <c r="A72" s="305"/>
      <c r="B72" s="305"/>
      <c r="C72" s="305"/>
      <c r="D72" s="305"/>
      <c r="E72" s="305"/>
      <c r="F72" s="305"/>
    </row>
    <row r="73" spans="1:6">
      <c r="A73" s="305"/>
      <c r="B73" s="305"/>
      <c r="C73" s="305"/>
      <c r="D73" s="305"/>
      <c r="E73" s="305"/>
      <c r="F73" s="305"/>
    </row>
    <row r="74" spans="1:6">
      <c r="A74" s="305"/>
      <c r="B74" s="305"/>
      <c r="C74" s="305"/>
      <c r="D74" s="305"/>
      <c r="E74" s="305"/>
      <c r="F74" s="305"/>
    </row>
    <row r="75" spans="1:6">
      <c r="A75" s="305"/>
      <c r="B75" s="305"/>
      <c r="C75" s="305"/>
      <c r="D75" s="305"/>
      <c r="E75" s="305"/>
      <c r="F75" s="305"/>
    </row>
    <row r="76" spans="1:6">
      <c r="A76" s="305"/>
      <c r="B76" s="305"/>
      <c r="C76" s="305"/>
      <c r="D76" s="305"/>
      <c r="E76" s="305"/>
      <c r="F76" s="305"/>
    </row>
    <row r="77" spans="1:6">
      <c r="A77" s="305"/>
      <c r="B77" s="305"/>
      <c r="C77" s="305"/>
      <c r="D77" s="305"/>
      <c r="E77" s="305"/>
      <c r="F77" s="305"/>
    </row>
    <row r="78" spans="1:6">
      <c r="A78" s="305"/>
      <c r="B78" s="305"/>
      <c r="C78" s="305"/>
      <c r="D78" s="305"/>
      <c r="E78" s="305"/>
      <c r="F78" s="305"/>
    </row>
    <row r="79" spans="1:6">
      <c r="A79" s="305"/>
      <c r="B79" s="305"/>
      <c r="C79" s="305"/>
      <c r="D79" s="305"/>
      <c r="E79" s="305"/>
      <c r="F79" s="305"/>
    </row>
    <row r="80" spans="1:6">
      <c r="A80" s="305"/>
      <c r="B80" s="305"/>
      <c r="C80" s="305"/>
      <c r="D80" s="305"/>
      <c r="E80" s="305"/>
      <c r="F80" s="305"/>
    </row>
    <row r="81" spans="1:6">
      <c r="A81" s="305"/>
      <c r="B81" s="305"/>
      <c r="C81" s="305"/>
      <c r="D81" s="305"/>
      <c r="E81" s="305"/>
      <c r="F81" s="305"/>
    </row>
    <row r="82" spans="1:6">
      <c r="A82" s="305"/>
      <c r="B82" s="305"/>
      <c r="C82" s="305"/>
      <c r="D82" s="305"/>
      <c r="E82" s="305"/>
      <c r="F82" s="305"/>
    </row>
    <row r="83" spans="1:6">
      <c r="A83" s="305"/>
      <c r="B83" s="305"/>
      <c r="C83" s="305"/>
      <c r="D83" s="305"/>
      <c r="E83" s="305"/>
      <c r="F83" s="305"/>
    </row>
  </sheetData>
  <pageMargins left="0.7" right="0.7" top="0.75" bottom="0.75" header="0.3" footer="0.3"/>
  <pageSetup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32"/>
  <sheetViews>
    <sheetView zoomScaleNormal="100" workbookViewId="0">
      <selection activeCell="N8" sqref="N8"/>
    </sheetView>
  </sheetViews>
  <sheetFormatPr defaultRowHeight="15"/>
  <cols>
    <col min="1" max="1" width="6.140625" customWidth="1"/>
    <col min="2" max="2" width="24.140625" customWidth="1"/>
    <col min="3" max="3" width="40" customWidth="1"/>
    <col min="4" max="4" width="41.5703125" customWidth="1"/>
    <col min="5" max="5" width="20.7109375" customWidth="1"/>
  </cols>
  <sheetData>
    <row r="1" spans="1:5" ht="15.75">
      <c r="A1" s="260" t="s">
        <v>175</v>
      </c>
      <c r="B1" s="260"/>
      <c r="C1" s="260"/>
      <c r="D1" s="260"/>
      <c r="E1" s="260"/>
    </row>
    <row r="2" spans="1:5">
      <c r="A2" s="261" t="s">
        <v>281</v>
      </c>
      <c r="B2" s="261"/>
      <c r="C2" s="261"/>
      <c r="D2" s="261"/>
      <c r="E2" s="261"/>
    </row>
    <row r="3" spans="1:5">
      <c r="A3" s="262"/>
      <c r="B3" s="262"/>
      <c r="C3" s="262"/>
      <c r="D3" s="262"/>
      <c r="E3" s="262"/>
    </row>
    <row r="4" spans="1:5">
      <c r="A4" s="263" t="s">
        <v>282</v>
      </c>
      <c r="B4" s="263"/>
      <c r="C4" s="263"/>
      <c r="D4" s="263"/>
      <c r="E4" s="263"/>
    </row>
    <row r="5" spans="1:5">
      <c r="A5" s="264"/>
      <c r="B5" s="264"/>
      <c r="C5" s="264"/>
      <c r="D5" s="264"/>
      <c r="E5" s="264"/>
    </row>
    <row r="6" spans="1:5" ht="15.75" thickBot="1">
      <c r="A6" s="265" t="s">
        <v>283</v>
      </c>
      <c r="B6" s="266" t="s">
        <v>284</v>
      </c>
      <c r="C6" s="267"/>
      <c r="D6" s="266" t="s">
        <v>285</v>
      </c>
      <c r="E6" s="265" t="s">
        <v>286</v>
      </c>
    </row>
    <row r="7" spans="1:5">
      <c r="A7" s="268">
        <v>1</v>
      </c>
      <c r="B7" s="269" t="s">
        <v>287</v>
      </c>
      <c r="C7" s="270"/>
      <c r="D7" s="1722" t="s">
        <v>1860</v>
      </c>
      <c r="E7" s="271">
        <f>INDEX(Inputs_EndYrBal,MATCH(D7,Inputs_FF1_Map,0))</f>
        <v>0</v>
      </c>
    </row>
    <row r="8" spans="1:5">
      <c r="A8" s="268">
        <f>A7+1</f>
        <v>2</v>
      </c>
      <c r="B8" s="269" t="s">
        <v>288</v>
      </c>
      <c r="C8" s="270"/>
      <c r="D8" s="1722" t="s">
        <v>1861</v>
      </c>
      <c r="E8" s="271">
        <f>INDEX(Inputs_EndYrBal,MATCH(D8,Inputs_FF1_Map,0))</f>
        <v>8449519</v>
      </c>
    </row>
    <row r="9" spans="1:5">
      <c r="A9" s="268">
        <f>A8+1</f>
        <v>3</v>
      </c>
      <c r="B9" s="269" t="s">
        <v>289</v>
      </c>
      <c r="C9" s="270"/>
      <c r="D9" s="1722" t="s">
        <v>1862</v>
      </c>
      <c r="E9" s="271">
        <f>INDEX(Inputs_EndYrBal,MATCH(D9,Inputs_FF1_Map,0))</f>
        <v>0</v>
      </c>
    </row>
    <row r="10" spans="1:5">
      <c r="A10" s="268">
        <f>A9+1</f>
        <v>4</v>
      </c>
      <c r="B10" s="269" t="s">
        <v>290</v>
      </c>
      <c r="C10" s="270"/>
      <c r="D10" s="1722" t="s">
        <v>1863</v>
      </c>
      <c r="E10" s="271">
        <f>INDEX(Inputs_EndYrBal,MATCH(D10,Inputs_FF1_Map,0))</f>
        <v>832432</v>
      </c>
    </row>
    <row r="11" spans="1:5">
      <c r="A11" s="268">
        <f>A10+1</f>
        <v>5</v>
      </c>
      <c r="B11" s="269" t="s">
        <v>291</v>
      </c>
      <c r="C11" s="270"/>
      <c r="D11" s="1722" t="s">
        <v>1864</v>
      </c>
      <c r="E11" s="272">
        <f>INDEX(Inputs_EndYrBal,MATCH(D11,Inputs_FF1_Map,0))</f>
        <v>3114499</v>
      </c>
    </row>
    <row r="12" spans="1:5">
      <c r="A12" s="268">
        <f>A11+1</f>
        <v>6</v>
      </c>
      <c r="B12" s="269" t="s">
        <v>292</v>
      </c>
      <c r="C12" s="270"/>
      <c r="D12" s="269" t="str">
        <f>"(Sum Lines "&amp;A7&amp;" through "&amp;A11&amp;")"</f>
        <v>(Sum Lines 1 through 5)</v>
      </c>
      <c r="E12" s="273">
        <f>SUM(E7:E11)</f>
        <v>12396450</v>
      </c>
    </row>
    <row r="13" spans="1:5">
      <c r="A13" s="268"/>
      <c r="B13" s="274"/>
      <c r="C13" s="270"/>
      <c r="D13" s="274"/>
      <c r="E13" s="270"/>
    </row>
    <row r="14" spans="1:5">
      <c r="A14" s="268"/>
      <c r="B14" s="274"/>
      <c r="C14" s="270"/>
      <c r="D14" s="274"/>
      <c r="E14" s="270"/>
    </row>
    <row r="15" spans="1:5">
      <c r="A15" s="268">
        <f>A12+1</f>
        <v>7</v>
      </c>
      <c r="B15" s="269" t="s">
        <v>293</v>
      </c>
      <c r="C15" s="270"/>
      <c r="D15" s="269" t="str">
        <f>"(Line "&amp;A12&amp;")"</f>
        <v>(Line 6)</v>
      </c>
      <c r="E15" s="273">
        <f>E12</f>
        <v>12396450</v>
      </c>
    </row>
    <row r="16" spans="1:5">
      <c r="A16" s="268"/>
      <c r="B16" s="274"/>
      <c r="C16" s="270"/>
      <c r="D16" s="274"/>
      <c r="E16" s="275"/>
    </row>
    <row r="17" spans="1:5">
      <c r="A17" s="268"/>
      <c r="B17" s="276" t="s">
        <v>294</v>
      </c>
      <c r="C17" s="270"/>
      <c r="D17" s="276"/>
      <c r="E17" s="274"/>
    </row>
    <row r="18" spans="1:5">
      <c r="A18" s="268"/>
      <c r="B18" s="274"/>
      <c r="C18" s="270"/>
      <c r="D18" s="274"/>
      <c r="E18" s="274"/>
    </row>
    <row r="19" spans="1:5">
      <c r="A19" s="268">
        <f>A15+1</f>
        <v>8</v>
      </c>
      <c r="B19" s="269" t="s">
        <v>295</v>
      </c>
      <c r="C19" s="270"/>
      <c r="D19" s="269" t="s">
        <v>296</v>
      </c>
      <c r="E19" s="277">
        <f>'Att 9b - 2024 True-up'!AV43*1000</f>
        <v>14292425.12322483</v>
      </c>
    </row>
    <row r="20" spans="1:5">
      <c r="A20" s="268"/>
      <c r="B20" s="269"/>
      <c r="C20" s="270"/>
      <c r="D20" s="274"/>
      <c r="E20" s="269"/>
    </row>
    <row r="21" spans="1:5">
      <c r="A21" s="268">
        <f>A19+1</f>
        <v>9</v>
      </c>
      <c r="B21" s="269" t="s">
        <v>297</v>
      </c>
      <c r="C21" s="270"/>
      <c r="D21" s="269" t="str">
        <f>"(Line "&amp;A15&amp;" / Line "&amp;A19&amp;")"</f>
        <v>(Line 7 / Line 8)</v>
      </c>
      <c r="E21" s="278">
        <f>ROUND(E15/E19,6)</f>
        <v>0.867344</v>
      </c>
    </row>
    <row r="22" spans="1:5">
      <c r="A22" s="268">
        <f>A21+1</f>
        <v>10</v>
      </c>
      <c r="B22" s="269" t="s">
        <v>298</v>
      </c>
      <c r="C22" s="270"/>
      <c r="D22" s="269" t="str">
        <f>"((Line "&amp;A15&amp;" / Line "&amp;A19&amp;") / 12)"</f>
        <v>((Line 7 / Line 8) / 12)</v>
      </c>
      <c r="E22" s="279">
        <f>ROUND(($E$15/$E$19)/12,5)</f>
        <v>7.2279999999999997E-2</v>
      </c>
    </row>
    <row r="23" spans="1:5">
      <c r="A23" s="268">
        <f>A22+1</f>
        <v>11</v>
      </c>
      <c r="B23" s="269" t="s">
        <v>299</v>
      </c>
      <c r="C23" s="270"/>
      <c r="D23" s="269" t="str">
        <f>"((Line "&amp;A15&amp;" / Line "&amp;A19&amp;") / 52)"</f>
        <v>((Line 7 / Line 8) / 52)</v>
      </c>
      <c r="E23" s="279">
        <f>ROUND(($E$15/$E$19)/52,5)</f>
        <v>1.668E-2</v>
      </c>
    </row>
    <row r="24" spans="1:5">
      <c r="A24" s="268"/>
      <c r="B24" s="269"/>
      <c r="C24" s="270"/>
      <c r="D24" s="269"/>
      <c r="E24" s="280"/>
    </row>
    <row r="25" spans="1:5">
      <c r="A25" s="268">
        <f>A23+1</f>
        <v>12</v>
      </c>
      <c r="B25" s="269" t="s">
        <v>300</v>
      </c>
      <c r="C25" s="270"/>
      <c r="D25" s="269" t="str">
        <f>"(Line "&amp;A23&amp;" / 5)"</f>
        <v>(Line 11 / 5)</v>
      </c>
      <c r="E25" s="279">
        <f>ROUND($E$23/5,5)</f>
        <v>3.3400000000000001E-3</v>
      </c>
    </row>
    <row r="26" spans="1:5">
      <c r="A26" s="268">
        <f>A25+1</f>
        <v>13</v>
      </c>
      <c r="B26" s="269" t="s">
        <v>301</v>
      </c>
      <c r="C26" s="270"/>
      <c r="D26" s="269" t="str">
        <f>"(Line "&amp;A23&amp;" / 7)"</f>
        <v>(Line 11 / 7)</v>
      </c>
      <c r="E26" s="279">
        <f>ROUND($E$23/7,5)</f>
        <v>2.3800000000000002E-3</v>
      </c>
    </row>
    <row r="27" spans="1:5">
      <c r="A27" s="268"/>
      <c r="B27" s="269"/>
      <c r="C27" s="270"/>
      <c r="D27" s="269"/>
      <c r="E27" s="280"/>
    </row>
    <row r="28" spans="1:5">
      <c r="A28" s="268">
        <f>A26+1</f>
        <v>14</v>
      </c>
      <c r="B28" s="269" t="s">
        <v>302</v>
      </c>
      <c r="C28" s="270"/>
      <c r="D28" s="269" t="str">
        <f>"((Line "&amp;A25&amp;" / 16) * 1000)"</f>
        <v>((Line 12 / 16) * 1000)</v>
      </c>
      <c r="E28" s="280">
        <f>ROUND(($E$25/16)*1000,2)</f>
        <v>0.21</v>
      </c>
    </row>
    <row r="29" spans="1:5">
      <c r="A29" s="268">
        <f>A28+1</f>
        <v>15</v>
      </c>
      <c r="B29" s="269" t="s">
        <v>303</v>
      </c>
      <c r="C29" s="270"/>
      <c r="D29" s="269" t="str">
        <f>"((Line "&amp;A26&amp;" / 24) * 1000)"</f>
        <v>((Line 13 / 24) * 1000)</v>
      </c>
      <c r="E29" s="280">
        <f>ROUND(($E$26/24)*1000,2)</f>
        <v>0.1</v>
      </c>
    </row>
    <row r="30" spans="1:5" ht="15.75" thickBot="1">
      <c r="A30" s="281"/>
      <c r="B30" s="282"/>
      <c r="C30" s="281"/>
      <c r="D30" s="283"/>
      <c r="E30" s="282"/>
    </row>
    <row r="31" spans="1:5">
      <c r="A31" s="284"/>
      <c r="B31" s="285"/>
      <c r="C31" s="284"/>
      <c r="D31" s="285"/>
      <c r="E31" s="286"/>
    </row>
    <row r="32" spans="1:5">
      <c r="A32" s="270"/>
      <c r="B32" s="270"/>
      <c r="C32" s="270"/>
      <c r="D32" s="287"/>
      <c r="E32" s="274"/>
    </row>
  </sheetData>
  <pageMargins left="0.7" right="0.7" top="0.75" bottom="0.75" header="0.3" footer="0.3"/>
  <pageSetup scale="92"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A395C7"/>
    <pageSetUpPr fitToPage="1"/>
  </sheetPr>
  <dimension ref="A1:N70"/>
  <sheetViews>
    <sheetView topLeftCell="A18" workbookViewId="0">
      <selection activeCell="O32" sqref="O32"/>
    </sheetView>
  </sheetViews>
  <sheetFormatPr defaultRowHeight="15"/>
  <cols>
    <col min="1" max="1" width="4.140625" customWidth="1"/>
    <col min="2" max="2" width="11.28515625" customWidth="1"/>
    <col min="3" max="3" width="19.28515625" customWidth="1"/>
    <col min="4" max="4" width="16.28515625" customWidth="1"/>
    <col min="5" max="5" width="19.140625" customWidth="1"/>
    <col min="6" max="6" width="18.5703125" customWidth="1"/>
    <col min="7" max="7" width="15.28515625" customWidth="1"/>
    <col min="8" max="8" width="13.28515625" customWidth="1"/>
    <col min="9" max="9" width="15.7109375" customWidth="1"/>
    <col min="10" max="10" width="17.140625" customWidth="1"/>
    <col min="11" max="11" width="14.140625" customWidth="1"/>
    <col min="12" max="12" width="18" customWidth="1"/>
  </cols>
  <sheetData>
    <row r="1" spans="1:14">
      <c r="A1" s="1300"/>
      <c r="B1" s="1813" t="s">
        <v>2602</v>
      </c>
      <c r="C1" s="1300"/>
      <c r="D1" s="1300"/>
      <c r="E1" s="1300"/>
      <c r="F1" s="1300"/>
      <c r="G1" s="1300"/>
      <c r="H1" s="1300"/>
      <c r="I1" s="1300"/>
      <c r="J1" s="1300"/>
      <c r="K1" s="1300"/>
      <c r="L1" s="1300"/>
      <c r="M1" s="1300"/>
      <c r="N1" s="1300"/>
    </row>
    <row r="2" spans="1:14">
      <c r="A2" s="1300"/>
      <c r="B2" s="1300"/>
      <c r="C2" s="1300"/>
      <c r="D2" s="1300"/>
      <c r="E2" s="1300"/>
      <c r="F2" s="1300"/>
      <c r="G2" s="1300"/>
      <c r="H2" s="1300"/>
      <c r="I2" s="1300"/>
      <c r="J2" s="1300"/>
      <c r="K2" s="1300"/>
      <c r="L2" s="1300"/>
      <c r="M2" s="1300"/>
      <c r="N2" s="1300"/>
    </row>
    <row r="3" spans="1:14">
      <c r="A3" s="1300"/>
      <c r="B3" s="1300"/>
      <c r="C3" s="1300"/>
      <c r="D3" s="1300"/>
      <c r="E3" s="1300"/>
      <c r="F3" s="1300"/>
      <c r="G3" s="1300"/>
      <c r="H3" s="1300"/>
      <c r="I3" s="1300"/>
      <c r="J3" s="1300"/>
      <c r="K3" s="1300"/>
      <c r="L3" s="1300"/>
      <c r="M3" s="1300"/>
      <c r="N3" s="1300"/>
    </row>
    <row r="4" spans="1:14">
      <c r="A4" s="1300"/>
      <c r="B4" s="1301" t="s">
        <v>1333</v>
      </c>
      <c r="C4" s="1302"/>
      <c r="D4" s="1300"/>
      <c r="E4" s="1300"/>
      <c r="F4" s="1300"/>
      <c r="G4" s="1300"/>
      <c r="H4" s="1300"/>
      <c r="I4" s="1300"/>
      <c r="J4" s="1300"/>
      <c r="K4" s="1300"/>
      <c r="L4" s="1300"/>
      <c r="M4" s="1300"/>
      <c r="N4" s="1300"/>
    </row>
    <row r="5" spans="1:14">
      <c r="A5" s="1300"/>
      <c r="B5" s="1303">
        <v>45688</v>
      </c>
      <c r="C5" s="1304">
        <v>79119348.510000005</v>
      </c>
      <c r="D5" s="1300"/>
      <c r="E5" s="1300"/>
      <c r="F5" s="1300"/>
      <c r="G5" s="1300"/>
      <c r="H5" s="1300"/>
      <c r="I5" s="1300"/>
      <c r="J5" s="1300"/>
      <c r="K5" s="1300"/>
      <c r="L5" s="1300"/>
      <c r="M5" s="1300"/>
      <c r="N5" s="1300"/>
    </row>
    <row r="6" spans="1:14">
      <c r="A6" s="1300"/>
      <c r="B6" s="1303">
        <v>45716</v>
      </c>
      <c r="C6" s="1305">
        <v>6320857.5199999958</v>
      </c>
      <c r="D6" s="1300"/>
      <c r="E6" s="1300"/>
      <c r="F6" s="1300"/>
      <c r="G6" s="1300"/>
      <c r="H6" s="1300"/>
      <c r="I6" s="1300"/>
      <c r="J6" s="1300"/>
      <c r="K6" s="1300"/>
      <c r="L6" s="1300"/>
      <c r="M6" s="1300"/>
      <c r="N6" s="1300"/>
    </row>
    <row r="7" spans="1:14" ht="23.25">
      <c r="A7" s="1300"/>
      <c r="B7" s="1303">
        <v>45747</v>
      </c>
      <c r="C7" s="1305">
        <v>9533660.4699999988</v>
      </c>
      <c r="D7" s="1300"/>
      <c r="E7" s="1306"/>
      <c r="F7" s="1300"/>
      <c r="G7" s="1300"/>
      <c r="H7" s="1300"/>
      <c r="I7" s="1300"/>
      <c r="J7" s="1300"/>
      <c r="K7" s="1300"/>
      <c r="L7" s="1300"/>
      <c r="M7" s="1300"/>
      <c r="N7" s="1300"/>
    </row>
    <row r="8" spans="1:14">
      <c r="A8" s="1300"/>
      <c r="B8" s="1303">
        <v>45777</v>
      </c>
      <c r="C8" s="1305">
        <v>27193571.30529011</v>
      </c>
      <c r="D8" s="1300"/>
      <c r="E8" s="1300"/>
      <c r="F8" s="1300"/>
      <c r="G8" s="1300"/>
      <c r="H8" s="1300"/>
      <c r="I8" s="1300"/>
      <c r="J8" s="1300"/>
      <c r="K8" s="1300"/>
      <c r="L8" s="1300"/>
      <c r="M8" s="1300"/>
      <c r="N8" s="1300"/>
    </row>
    <row r="9" spans="1:14">
      <c r="A9" s="1300"/>
      <c r="B9" s="1303">
        <v>45808</v>
      </c>
      <c r="C9" s="1305">
        <v>86052028.722769588</v>
      </c>
      <c r="D9" s="1300"/>
      <c r="E9" s="1300"/>
      <c r="F9" s="1300"/>
      <c r="G9" s="1300"/>
      <c r="H9" s="1300"/>
      <c r="I9" s="1300"/>
      <c r="J9" s="1300"/>
      <c r="K9" s="1300"/>
      <c r="L9" s="1300"/>
      <c r="M9" s="1300"/>
      <c r="N9" s="1300"/>
    </row>
    <row r="10" spans="1:14">
      <c r="A10" s="1300"/>
      <c r="B10" s="1303">
        <v>45838</v>
      </c>
      <c r="C10" s="1305">
        <v>54066962.864013769</v>
      </c>
      <c r="D10" s="1300"/>
      <c r="E10" s="1300"/>
      <c r="F10" s="1300"/>
      <c r="G10" s="1300"/>
      <c r="H10" s="1300"/>
      <c r="I10" s="1300"/>
      <c r="J10" s="1300"/>
      <c r="K10" s="1300"/>
      <c r="L10" s="1300"/>
      <c r="M10" s="1300"/>
      <c r="N10" s="1300"/>
    </row>
    <row r="11" spans="1:14">
      <c r="A11" s="1300"/>
      <c r="B11" s="1303">
        <v>45869</v>
      </c>
      <c r="C11" s="1305">
        <v>59024381.907686941</v>
      </c>
      <c r="D11" s="1300"/>
      <c r="E11" s="1300"/>
      <c r="F11" s="1300"/>
      <c r="G11" s="1300"/>
      <c r="H11" s="1300"/>
      <c r="I11" s="1300"/>
      <c r="J11" s="1300"/>
      <c r="K11" s="1300"/>
      <c r="L11" s="1300"/>
      <c r="M11" s="1300"/>
      <c r="N11" s="1300"/>
    </row>
    <row r="12" spans="1:14">
      <c r="A12" s="1300"/>
      <c r="B12" s="1303">
        <v>45900</v>
      </c>
      <c r="C12" s="1305">
        <v>58750564.464075252</v>
      </c>
      <c r="D12" s="1300"/>
      <c r="E12" s="1300"/>
      <c r="F12" s="1300"/>
      <c r="G12" s="1300"/>
      <c r="H12" s="1300"/>
      <c r="I12" s="1300"/>
      <c r="J12" s="1300"/>
      <c r="K12" s="1300"/>
      <c r="L12" s="1300"/>
      <c r="M12" s="1300"/>
      <c r="N12" s="1300"/>
    </row>
    <row r="13" spans="1:14">
      <c r="A13" s="1300"/>
      <c r="B13" s="1303">
        <v>45930</v>
      </c>
      <c r="C13" s="1305">
        <v>66889596.309702478</v>
      </c>
      <c r="D13" s="1300"/>
      <c r="E13" s="1300"/>
      <c r="F13" s="1300"/>
      <c r="G13" s="1300"/>
      <c r="H13" s="1300"/>
      <c r="I13" s="1300"/>
      <c r="J13" s="1300"/>
      <c r="K13" s="1300"/>
      <c r="L13" s="1300"/>
      <c r="M13" s="1300"/>
      <c r="N13" s="1300"/>
    </row>
    <row r="14" spans="1:14">
      <c r="A14" s="1300"/>
      <c r="B14" s="1303">
        <v>45961</v>
      </c>
      <c r="C14" s="1305">
        <v>63993235.072338067</v>
      </c>
      <c r="D14" s="1300"/>
      <c r="E14" s="1300"/>
      <c r="F14" s="1300"/>
      <c r="G14" s="1300"/>
      <c r="H14" s="1300"/>
      <c r="I14" s="1300"/>
      <c r="J14" s="1300"/>
      <c r="K14" s="1300"/>
      <c r="L14" s="1300"/>
      <c r="M14" s="1300"/>
      <c r="N14" s="1300"/>
    </row>
    <row r="15" spans="1:14">
      <c r="A15" s="1300"/>
      <c r="B15" s="1303">
        <v>45991</v>
      </c>
      <c r="C15" s="1305">
        <v>52535467.620486915</v>
      </c>
      <c r="D15" s="1300"/>
      <c r="E15" s="1300"/>
      <c r="F15" s="1300"/>
      <c r="G15" s="1300"/>
      <c r="H15" s="1300"/>
      <c r="I15" s="1300"/>
      <c r="J15" s="1300"/>
      <c r="K15" s="1300"/>
      <c r="L15" s="1300"/>
      <c r="M15" s="1300"/>
      <c r="N15" s="1300"/>
    </row>
    <row r="16" spans="1:14">
      <c r="A16" s="1300"/>
      <c r="B16" s="1303">
        <v>46022</v>
      </c>
      <c r="C16" s="1307">
        <v>60645751.054503404</v>
      </c>
      <c r="D16" s="1300"/>
      <c r="E16" s="1300"/>
      <c r="F16" s="1300"/>
      <c r="G16" s="1300"/>
      <c r="H16" s="1300"/>
      <c r="I16" s="1300"/>
      <c r="J16" s="1300"/>
      <c r="K16" s="1300"/>
      <c r="L16" s="1300"/>
      <c r="M16" s="1300"/>
      <c r="N16" s="1300"/>
    </row>
    <row r="17" spans="1:14">
      <c r="A17" s="1300"/>
      <c r="B17" s="1300"/>
      <c r="C17" s="1300"/>
      <c r="D17" s="1300"/>
      <c r="E17" s="1300"/>
      <c r="F17" s="1300"/>
      <c r="G17" s="1300"/>
      <c r="H17" s="1300"/>
      <c r="I17" s="1300"/>
      <c r="J17" s="1300"/>
      <c r="K17" s="1300"/>
      <c r="L17" s="1300"/>
      <c r="M17" s="1300"/>
      <c r="N17" s="1300"/>
    </row>
    <row r="18" spans="1:14">
      <c r="A18" s="1300"/>
      <c r="B18" s="1300"/>
      <c r="C18" s="1300"/>
      <c r="D18" s="1300"/>
      <c r="E18" s="1300"/>
      <c r="F18" s="1300"/>
      <c r="G18" s="1300"/>
      <c r="H18" s="1300"/>
      <c r="I18" s="1300"/>
      <c r="J18" s="1300"/>
      <c r="K18" s="1300"/>
      <c r="L18" s="1300"/>
      <c r="M18" s="1300"/>
      <c r="N18" s="1300"/>
    </row>
    <row r="19" spans="1:14">
      <c r="A19" s="768"/>
      <c r="B19" s="1814" t="s">
        <v>2603</v>
      </c>
      <c r="C19" s="825"/>
      <c r="D19" s="1308"/>
      <c r="E19" s="826"/>
      <c r="F19" s="826"/>
      <c r="G19" s="826"/>
      <c r="H19" s="826"/>
      <c r="I19" s="826"/>
      <c r="J19" s="826"/>
      <c r="K19" s="826"/>
      <c r="L19" s="826"/>
      <c r="M19" s="1300"/>
      <c r="N19" s="1300"/>
    </row>
    <row r="20" spans="1:14">
      <c r="A20" s="768"/>
      <c r="B20" s="274"/>
      <c r="C20" s="1309" t="s">
        <v>333</v>
      </c>
      <c r="D20" s="1309" t="s">
        <v>334</v>
      </c>
      <c r="E20" s="1309" t="s">
        <v>335</v>
      </c>
      <c r="F20" s="1309" t="s">
        <v>336</v>
      </c>
      <c r="G20" s="1309" t="s">
        <v>337</v>
      </c>
      <c r="H20" s="1309" t="s">
        <v>338</v>
      </c>
      <c r="I20" s="1309" t="s">
        <v>940</v>
      </c>
      <c r="J20" s="1309" t="s">
        <v>941</v>
      </c>
      <c r="K20" s="1309" t="s">
        <v>942</v>
      </c>
      <c r="L20" s="1309" t="s">
        <v>943</v>
      </c>
      <c r="M20" s="1300"/>
      <c r="N20" s="1300"/>
    </row>
    <row r="21" spans="1:14">
      <c r="A21" s="768"/>
      <c r="B21" s="274"/>
      <c r="C21" s="1310" t="s">
        <v>953</v>
      </c>
      <c r="D21" s="1310" t="s">
        <v>953</v>
      </c>
      <c r="E21" s="1310" t="s">
        <v>953</v>
      </c>
      <c r="F21" s="1310" t="s">
        <v>953</v>
      </c>
      <c r="G21" s="1310" t="s">
        <v>953</v>
      </c>
      <c r="H21" s="1310" t="s">
        <v>953</v>
      </c>
      <c r="I21" s="1310" t="s">
        <v>953</v>
      </c>
      <c r="J21" s="1310" t="s">
        <v>953</v>
      </c>
      <c r="K21" s="1310" t="s">
        <v>953</v>
      </c>
      <c r="L21" s="1310" t="s">
        <v>953</v>
      </c>
      <c r="M21" s="1300"/>
      <c r="N21" s="1300"/>
    </row>
    <row r="22" spans="1:14">
      <c r="A22" s="768"/>
      <c r="B22" s="826"/>
      <c r="C22" s="1311" t="s">
        <v>955</v>
      </c>
      <c r="D22" s="1311"/>
      <c r="E22" s="1311" t="s">
        <v>956</v>
      </c>
      <c r="F22" s="1311" t="s">
        <v>956</v>
      </c>
      <c r="G22" s="1311" t="s">
        <v>956</v>
      </c>
      <c r="H22" s="1311" t="s">
        <v>956</v>
      </c>
      <c r="I22" s="1311" t="s">
        <v>956</v>
      </c>
      <c r="J22" s="1311" t="s">
        <v>956</v>
      </c>
      <c r="K22" s="1311" t="s">
        <v>956</v>
      </c>
      <c r="L22" s="1311" t="s">
        <v>956</v>
      </c>
      <c r="M22" s="1300"/>
      <c r="N22" s="1300"/>
    </row>
    <row r="23" spans="1:14">
      <c r="A23" s="768"/>
      <c r="B23" s="826"/>
      <c r="C23" s="1491" t="s">
        <v>965</v>
      </c>
      <c r="D23" s="1492"/>
      <c r="E23" s="1492" t="s">
        <v>233</v>
      </c>
      <c r="F23" s="1492" t="s">
        <v>235</v>
      </c>
      <c r="G23" s="1492" t="s">
        <v>236</v>
      </c>
      <c r="H23" s="1492" t="s">
        <v>238</v>
      </c>
      <c r="I23" s="1492" t="s">
        <v>240</v>
      </c>
      <c r="J23" s="1492" t="s">
        <v>242</v>
      </c>
      <c r="K23" s="1492" t="s">
        <v>247</v>
      </c>
      <c r="L23" s="1493" t="s">
        <v>1334</v>
      </c>
      <c r="M23" s="1300"/>
      <c r="N23" s="1300"/>
    </row>
    <row r="24" spans="1:14" hidden="1">
      <c r="A24" s="768"/>
      <c r="B24" s="1312"/>
      <c r="C24" s="1313"/>
      <c r="D24" s="1314"/>
      <c r="E24" s="1314"/>
      <c r="F24" s="1314"/>
      <c r="G24" s="1314"/>
      <c r="H24" s="1314"/>
      <c r="I24" s="1314"/>
      <c r="J24" s="1314"/>
      <c r="K24" s="1314"/>
      <c r="L24" s="1315"/>
      <c r="M24" s="1300"/>
      <c r="N24" s="1300"/>
    </row>
    <row r="25" spans="1:14">
      <c r="A25" s="768"/>
      <c r="B25" s="1303">
        <f t="shared" ref="B25:B36" si="0">B5</f>
        <v>45688</v>
      </c>
      <c r="C25" s="1316">
        <f>C5-L25</f>
        <v>26783248.969999991</v>
      </c>
      <c r="D25" s="1317">
        <v>0</v>
      </c>
      <c r="E25" s="1317">
        <v>118980.88999999998</v>
      </c>
      <c r="F25" s="1317">
        <v>-84596.799999999115</v>
      </c>
      <c r="G25" s="1317">
        <v>4703235.6100000069</v>
      </c>
      <c r="H25" s="1317">
        <v>0</v>
      </c>
      <c r="I25" s="1317">
        <v>47598479.840000004</v>
      </c>
      <c r="J25" s="1317">
        <v>0</v>
      </c>
      <c r="K25" s="1317">
        <v>0</v>
      </c>
      <c r="L25" s="1315">
        <f t="shared" ref="L25:L36" si="1">SUM(D25:K25)</f>
        <v>52336099.540000014</v>
      </c>
      <c r="M25" s="1300"/>
      <c r="N25" s="1300"/>
    </row>
    <row r="26" spans="1:14">
      <c r="A26" s="768"/>
      <c r="B26" s="1303">
        <f t="shared" si="0"/>
        <v>45716</v>
      </c>
      <c r="C26" s="1316">
        <f t="shared" ref="C26:C36" si="2">C6-L26</f>
        <v>5383709.9200000018</v>
      </c>
      <c r="D26" s="1317">
        <v>0</v>
      </c>
      <c r="E26" s="1317">
        <v>207845.52</v>
      </c>
      <c r="F26" s="1317">
        <v>-149334.53000000602</v>
      </c>
      <c r="G26" s="1317">
        <v>745477.74999999255</v>
      </c>
      <c r="H26" s="1317">
        <v>0</v>
      </c>
      <c r="I26" s="1317">
        <v>133158.86000000802</v>
      </c>
      <c r="J26" s="1317">
        <v>0</v>
      </c>
      <c r="K26" s="1317">
        <v>0</v>
      </c>
      <c r="L26" s="1315">
        <f t="shared" si="1"/>
        <v>937147.59999999451</v>
      </c>
      <c r="M26" s="1300"/>
      <c r="N26" s="1300"/>
    </row>
    <row r="27" spans="1:14">
      <c r="A27" s="768"/>
      <c r="B27" s="1303">
        <f t="shared" si="0"/>
        <v>45747</v>
      </c>
      <c r="C27" s="1316">
        <f t="shared" si="2"/>
        <v>4604966.459999999</v>
      </c>
      <c r="D27" s="1317">
        <v>0</v>
      </c>
      <c r="E27" s="1317">
        <v>118906.58</v>
      </c>
      <c r="F27" s="1317">
        <v>325871.11</v>
      </c>
      <c r="G27" s="1317">
        <v>764586.52</v>
      </c>
      <c r="H27" s="1317">
        <v>0</v>
      </c>
      <c r="I27" s="1317">
        <v>3719329.8000000003</v>
      </c>
      <c r="J27" s="1317">
        <v>0</v>
      </c>
      <c r="K27" s="1317">
        <v>0</v>
      </c>
      <c r="L27" s="1315">
        <f t="shared" si="1"/>
        <v>4928694.01</v>
      </c>
      <c r="M27" s="1300"/>
      <c r="N27" s="1300"/>
    </row>
    <row r="28" spans="1:14">
      <c r="A28" s="768"/>
      <c r="B28" s="1303">
        <f t="shared" si="0"/>
        <v>45777</v>
      </c>
      <c r="C28" s="1316">
        <f t="shared" si="2"/>
        <v>15107643.30529011</v>
      </c>
      <c r="D28" s="1317">
        <v>0</v>
      </c>
      <c r="E28" s="1317">
        <v>0</v>
      </c>
      <c r="F28" s="1317">
        <v>0</v>
      </c>
      <c r="G28" s="1317">
        <v>2631704</v>
      </c>
      <c r="H28" s="1317">
        <v>0</v>
      </c>
      <c r="I28" s="1317">
        <v>9454224</v>
      </c>
      <c r="J28" s="1317">
        <v>0</v>
      </c>
      <c r="K28" s="1317">
        <v>0</v>
      </c>
      <c r="L28" s="1315">
        <f t="shared" si="1"/>
        <v>12085928</v>
      </c>
      <c r="M28" s="1300"/>
      <c r="N28" s="1300"/>
    </row>
    <row r="29" spans="1:14">
      <c r="A29" s="768"/>
      <c r="B29" s="1303">
        <f t="shared" si="0"/>
        <v>45808</v>
      </c>
      <c r="C29" s="1316">
        <f t="shared" si="2"/>
        <v>83768056.722769588</v>
      </c>
      <c r="D29" s="1317">
        <v>0</v>
      </c>
      <c r="E29" s="1317">
        <v>0</v>
      </c>
      <c r="F29" s="1317">
        <v>0</v>
      </c>
      <c r="G29" s="1317">
        <v>172459</v>
      </c>
      <c r="H29" s="1317">
        <v>0</v>
      </c>
      <c r="I29" s="1317">
        <v>2111513</v>
      </c>
      <c r="J29" s="1317">
        <v>0</v>
      </c>
      <c r="K29" s="1317">
        <v>0</v>
      </c>
      <c r="L29" s="1315">
        <f t="shared" si="1"/>
        <v>2283972</v>
      </c>
      <c r="M29" s="1300"/>
      <c r="N29" s="1300"/>
    </row>
    <row r="30" spans="1:14">
      <c r="A30" s="768"/>
      <c r="B30" s="1303">
        <f t="shared" si="0"/>
        <v>45838</v>
      </c>
      <c r="C30" s="1316">
        <f t="shared" si="2"/>
        <v>36524088.864013769</v>
      </c>
      <c r="D30" s="1317">
        <v>0</v>
      </c>
      <c r="E30" s="1317">
        <v>0</v>
      </c>
      <c r="F30" s="1317">
        <v>11575730</v>
      </c>
      <c r="G30" s="1317">
        <v>419271</v>
      </c>
      <c r="H30" s="1317">
        <v>0</v>
      </c>
      <c r="I30" s="1317">
        <v>5547873</v>
      </c>
      <c r="J30" s="1317">
        <v>0</v>
      </c>
      <c r="K30" s="1317">
        <v>0</v>
      </c>
      <c r="L30" s="1315">
        <f t="shared" si="1"/>
        <v>17542874</v>
      </c>
      <c r="M30" s="1300"/>
      <c r="N30" s="1300"/>
    </row>
    <row r="31" spans="1:14">
      <c r="A31" s="768"/>
      <c r="B31" s="1303">
        <f t="shared" si="0"/>
        <v>45869</v>
      </c>
      <c r="C31" s="1316">
        <f t="shared" si="2"/>
        <v>54814200.907686941</v>
      </c>
      <c r="D31" s="1317">
        <v>0</v>
      </c>
      <c r="E31" s="1317">
        <v>0</v>
      </c>
      <c r="F31" s="1317">
        <v>0</v>
      </c>
      <c r="G31" s="1317">
        <v>1036887</v>
      </c>
      <c r="H31" s="1317">
        <v>0</v>
      </c>
      <c r="I31" s="1317">
        <v>3173294</v>
      </c>
      <c r="J31" s="1317">
        <v>0</v>
      </c>
      <c r="K31" s="1317">
        <v>0</v>
      </c>
      <c r="L31" s="1315">
        <f t="shared" si="1"/>
        <v>4210181</v>
      </c>
      <c r="M31" s="1300"/>
      <c r="N31" s="1300"/>
    </row>
    <row r="32" spans="1:14">
      <c r="A32" s="768"/>
      <c r="B32" s="1303">
        <f t="shared" si="0"/>
        <v>45900</v>
      </c>
      <c r="C32" s="1316">
        <f t="shared" si="2"/>
        <v>12403117.464075252</v>
      </c>
      <c r="D32" s="1317">
        <v>0</v>
      </c>
      <c r="E32" s="1317">
        <v>0</v>
      </c>
      <c r="F32" s="1317">
        <v>0</v>
      </c>
      <c r="G32" s="1317">
        <v>3248265</v>
      </c>
      <c r="H32" s="1317">
        <v>0</v>
      </c>
      <c r="I32" s="1317">
        <v>43099182</v>
      </c>
      <c r="J32" s="1317">
        <v>0</v>
      </c>
      <c r="K32" s="1317">
        <v>0</v>
      </c>
      <c r="L32" s="1315">
        <f t="shared" si="1"/>
        <v>46347447</v>
      </c>
      <c r="M32" s="1300"/>
      <c r="N32" s="1300"/>
    </row>
    <row r="33" spans="1:14">
      <c r="A33" s="768"/>
      <c r="B33" s="1303">
        <f t="shared" si="0"/>
        <v>45930</v>
      </c>
      <c r="C33" s="1316">
        <f t="shared" si="2"/>
        <v>64529233.309702478</v>
      </c>
      <c r="D33" s="1317">
        <v>0</v>
      </c>
      <c r="E33" s="1317">
        <v>0</v>
      </c>
      <c r="F33" s="1317">
        <v>0</v>
      </c>
      <c r="G33" s="1317">
        <v>2026442</v>
      </c>
      <c r="H33" s="1317">
        <v>0</v>
      </c>
      <c r="I33" s="1317">
        <v>333921</v>
      </c>
      <c r="J33" s="1317">
        <v>0</v>
      </c>
      <c r="K33" s="1317">
        <v>0</v>
      </c>
      <c r="L33" s="1315">
        <f t="shared" si="1"/>
        <v>2360363</v>
      </c>
      <c r="M33" s="1300"/>
      <c r="N33" s="1300"/>
    </row>
    <row r="34" spans="1:14">
      <c r="A34" s="768"/>
      <c r="B34" s="1303">
        <f t="shared" si="0"/>
        <v>45961</v>
      </c>
      <c r="C34" s="1316">
        <f t="shared" si="2"/>
        <v>52050796.072338067</v>
      </c>
      <c r="D34" s="1317">
        <v>0</v>
      </c>
      <c r="E34" s="1317">
        <v>0</v>
      </c>
      <c r="F34" s="1317">
        <v>0</v>
      </c>
      <c r="G34" s="1317">
        <v>1416467</v>
      </c>
      <c r="H34" s="1317">
        <v>0</v>
      </c>
      <c r="I34" s="1317">
        <v>10525972</v>
      </c>
      <c r="J34" s="1317">
        <v>0</v>
      </c>
      <c r="K34" s="1317">
        <v>0</v>
      </c>
      <c r="L34" s="1315">
        <f t="shared" si="1"/>
        <v>11942439</v>
      </c>
      <c r="M34" s="1300"/>
      <c r="N34" s="1300"/>
    </row>
    <row r="35" spans="1:14">
      <c r="A35" s="768"/>
      <c r="B35" s="1303">
        <f t="shared" si="0"/>
        <v>45991</v>
      </c>
      <c r="C35" s="1316">
        <f t="shared" si="2"/>
        <v>51542111.620486915</v>
      </c>
      <c r="D35" s="1317">
        <v>0</v>
      </c>
      <c r="E35" s="1317">
        <v>515000</v>
      </c>
      <c r="F35" s="1317">
        <v>0</v>
      </c>
      <c r="G35" s="1317">
        <v>87823</v>
      </c>
      <c r="H35" s="1317">
        <v>0</v>
      </c>
      <c r="I35" s="1317">
        <v>390533</v>
      </c>
      <c r="J35" s="1317">
        <v>0</v>
      </c>
      <c r="K35" s="1317">
        <v>0</v>
      </c>
      <c r="L35" s="1315">
        <f t="shared" si="1"/>
        <v>993356</v>
      </c>
      <c r="M35" s="1300"/>
      <c r="N35" s="1300"/>
    </row>
    <row r="36" spans="1:14">
      <c r="A36" s="768"/>
      <c r="B36" s="1303">
        <f t="shared" si="0"/>
        <v>46022</v>
      </c>
      <c r="C36" s="1318">
        <f t="shared" si="2"/>
        <v>60150300.054503404</v>
      </c>
      <c r="D36" s="1317">
        <v>0</v>
      </c>
      <c r="E36" s="1317">
        <v>0</v>
      </c>
      <c r="F36" s="1317">
        <v>0</v>
      </c>
      <c r="G36" s="1317">
        <v>57415</v>
      </c>
      <c r="H36" s="1317">
        <v>0</v>
      </c>
      <c r="I36" s="1317">
        <v>438036</v>
      </c>
      <c r="J36" s="1317">
        <v>0</v>
      </c>
      <c r="K36" s="1317">
        <v>0</v>
      </c>
      <c r="L36" s="1319">
        <f t="shared" si="1"/>
        <v>495451</v>
      </c>
      <c r="M36" s="1300"/>
      <c r="N36" s="1300"/>
    </row>
    <row r="37" spans="1:14">
      <c r="A37" s="768"/>
      <c r="B37" s="826" t="s">
        <v>111</v>
      </c>
      <c r="C37" s="1320">
        <f>SUM(C24:C36)</f>
        <v>467661473.67086643</v>
      </c>
      <c r="D37" s="1528">
        <f t="shared" ref="D37:K37" si="3">SUM(D24:D36)</f>
        <v>0</v>
      </c>
      <c r="E37" s="1528">
        <f>SUM(E24:E36)</f>
        <v>960732.99</v>
      </c>
      <c r="F37" s="1528">
        <f>SUM(F24:F36)</f>
        <v>11667669.779999996</v>
      </c>
      <c r="G37" s="1528">
        <f t="shared" si="3"/>
        <v>17310032.879999999</v>
      </c>
      <c r="H37" s="1528">
        <f t="shared" si="3"/>
        <v>0</v>
      </c>
      <c r="I37" s="1528">
        <f t="shared" si="3"/>
        <v>126525516.5</v>
      </c>
      <c r="J37" s="1528">
        <f t="shared" si="3"/>
        <v>0</v>
      </c>
      <c r="K37" s="1528">
        <f t="shared" si="3"/>
        <v>0</v>
      </c>
      <c r="L37" s="1320">
        <f>SUM(L24:L36)</f>
        <v>156463952.15000001</v>
      </c>
      <c r="M37" s="1300"/>
      <c r="N37" s="1300"/>
    </row>
    <row r="38" spans="1:14">
      <c r="A38" s="1300"/>
      <c r="B38" s="1300"/>
      <c r="C38" s="1300"/>
      <c r="D38" s="1300"/>
      <c r="E38" s="1300"/>
      <c r="G38" s="1300"/>
      <c r="H38" s="1300"/>
      <c r="I38" s="1300"/>
      <c r="J38" s="1300"/>
      <c r="K38" s="1300"/>
      <c r="L38" s="1300"/>
      <c r="M38" s="1300"/>
      <c r="N38" s="1300"/>
    </row>
    <row r="39" spans="1:14">
      <c r="A39" s="1300"/>
      <c r="B39" s="1300"/>
      <c r="C39" s="1300"/>
      <c r="D39" s="1300"/>
      <c r="E39" s="1300"/>
      <c r="F39" s="1300"/>
      <c r="G39" s="1300"/>
      <c r="H39" s="1300"/>
      <c r="I39" s="1300"/>
      <c r="J39" s="1300"/>
      <c r="K39" s="1300"/>
      <c r="L39" s="1300"/>
      <c r="M39" s="1300"/>
      <c r="N39" s="1300"/>
    </row>
    <row r="40" spans="1:14">
      <c r="A40" s="1300"/>
      <c r="B40" s="1300"/>
      <c r="C40" s="1300"/>
      <c r="D40" s="1300"/>
      <c r="E40" s="1300"/>
      <c r="F40" s="1300"/>
      <c r="G40" s="1300"/>
      <c r="H40" s="1300"/>
      <c r="I40" s="1300"/>
      <c r="J40" s="1300"/>
      <c r="K40" s="1300"/>
      <c r="L40" s="1300"/>
      <c r="M40" s="1300"/>
      <c r="N40" s="1300"/>
    </row>
    <row r="41" spans="1:14">
      <c r="A41" s="1300"/>
      <c r="B41" s="1300"/>
      <c r="C41" s="1300"/>
      <c r="D41" s="1300"/>
      <c r="E41" s="1300"/>
      <c r="F41" s="1300"/>
      <c r="G41" s="1300"/>
      <c r="H41" s="1300"/>
      <c r="I41" s="1300"/>
      <c r="J41" s="1300"/>
      <c r="K41" s="1300"/>
      <c r="L41" s="1300"/>
      <c r="M41" s="1300"/>
      <c r="N41" s="1300"/>
    </row>
    <row r="42" spans="1:14">
      <c r="A42" s="1300"/>
      <c r="B42" s="1300"/>
      <c r="C42" s="1300"/>
      <c r="D42" s="1300"/>
      <c r="E42" s="1300"/>
      <c r="F42" s="1300"/>
      <c r="G42" s="1300"/>
      <c r="H42" s="1300"/>
      <c r="I42" s="1300"/>
      <c r="J42" s="1300"/>
      <c r="K42" s="1300"/>
      <c r="L42" s="1300"/>
      <c r="M42" s="1300"/>
      <c r="N42" s="1300"/>
    </row>
    <row r="43" spans="1:14">
      <c r="A43" s="1300"/>
      <c r="B43" s="1300"/>
      <c r="C43" s="1300"/>
      <c r="D43" s="1300"/>
      <c r="E43" s="1300"/>
      <c r="F43" s="1300"/>
      <c r="G43" s="1300"/>
      <c r="H43" s="1300"/>
      <c r="I43" s="1300"/>
      <c r="J43" s="1300"/>
      <c r="K43" s="1300"/>
      <c r="L43" s="1300"/>
      <c r="M43" s="1300"/>
      <c r="N43" s="1300"/>
    </row>
    <row r="44" spans="1:14">
      <c r="A44" s="1300"/>
      <c r="B44" s="1300"/>
      <c r="C44" s="1300"/>
      <c r="D44" s="1300"/>
      <c r="E44" s="1300"/>
      <c r="F44" s="1300"/>
      <c r="G44" s="1300"/>
      <c r="H44" s="1300"/>
      <c r="I44" s="1300"/>
      <c r="J44" s="1300"/>
      <c r="K44" s="1300"/>
      <c r="L44" s="1300"/>
      <c r="M44" s="1300"/>
      <c r="N44" s="1300"/>
    </row>
    <row r="45" spans="1:14">
      <c r="A45" s="1300"/>
      <c r="B45" s="1300"/>
      <c r="C45" s="1300"/>
      <c r="D45" s="1300"/>
      <c r="E45" s="1300"/>
      <c r="F45" s="1300"/>
      <c r="G45" s="1300"/>
      <c r="H45" s="1300"/>
      <c r="I45" s="1300"/>
      <c r="J45" s="1300"/>
      <c r="K45" s="1300"/>
      <c r="L45" s="1300"/>
      <c r="M45" s="1300"/>
      <c r="N45" s="1300"/>
    </row>
    <row r="46" spans="1:14">
      <c r="A46" s="1300"/>
      <c r="B46" s="1300"/>
      <c r="C46" s="1300"/>
      <c r="D46" s="1300"/>
      <c r="E46" s="1300"/>
      <c r="F46" s="1300"/>
      <c r="G46" s="1300"/>
      <c r="H46" s="1300"/>
      <c r="I46" s="1300"/>
      <c r="J46" s="1300"/>
      <c r="K46" s="1300"/>
      <c r="L46" s="1300"/>
      <c r="M46" s="1300"/>
      <c r="N46" s="1300"/>
    </row>
    <row r="47" spans="1:14">
      <c r="A47" s="1300"/>
      <c r="B47" s="1300"/>
      <c r="C47" s="1300"/>
      <c r="D47" s="1300"/>
      <c r="E47" s="1300"/>
      <c r="F47" s="1300"/>
      <c r="G47" s="1300"/>
      <c r="H47" s="1300"/>
      <c r="I47" s="1300"/>
      <c r="J47" s="1300"/>
      <c r="K47" s="1300"/>
      <c r="L47" s="1300"/>
      <c r="M47" s="1300"/>
      <c r="N47" s="1300"/>
    </row>
    <row r="48" spans="1:14">
      <c r="A48" s="1300"/>
      <c r="B48" s="1300"/>
      <c r="C48" s="1300"/>
      <c r="D48" s="1300"/>
      <c r="E48" s="1300"/>
      <c r="F48" s="1300"/>
      <c r="G48" s="1300"/>
      <c r="H48" s="1300"/>
      <c r="I48" s="1300"/>
      <c r="J48" s="1300"/>
      <c r="K48" s="1300"/>
      <c r="L48" s="1300"/>
      <c r="M48" s="1300"/>
      <c r="N48" s="1300"/>
    </row>
    <row r="49" spans="1:14">
      <c r="A49" s="1300"/>
      <c r="B49" s="1300"/>
      <c r="C49" s="1300"/>
      <c r="D49" s="1300"/>
      <c r="E49" s="1300"/>
      <c r="F49" s="1300"/>
      <c r="G49" s="1300"/>
      <c r="H49" s="1300"/>
      <c r="I49" s="1300"/>
      <c r="J49" s="1300"/>
      <c r="K49" s="1300"/>
      <c r="L49" s="1300"/>
      <c r="M49" s="1300"/>
      <c r="N49" s="1300"/>
    </row>
    <row r="50" spans="1:14">
      <c r="A50" s="1300"/>
      <c r="B50" s="1300"/>
      <c r="C50" s="1300"/>
      <c r="D50" s="1300"/>
      <c r="E50" s="1300"/>
      <c r="F50" s="1300"/>
      <c r="G50" s="1300"/>
      <c r="H50" s="1300"/>
      <c r="I50" s="1300"/>
      <c r="J50" s="1300"/>
      <c r="K50" s="1300"/>
      <c r="L50" s="1300"/>
      <c r="M50" s="1300"/>
      <c r="N50" s="1300"/>
    </row>
    <row r="51" spans="1:14">
      <c r="A51" s="1300"/>
      <c r="B51" s="1300"/>
      <c r="C51" s="1300"/>
      <c r="D51" s="1300"/>
      <c r="E51" s="1300"/>
      <c r="F51" s="1300"/>
      <c r="G51" s="1300"/>
      <c r="H51" s="1300"/>
      <c r="I51" s="1300"/>
      <c r="J51" s="1300"/>
      <c r="K51" s="1300"/>
      <c r="L51" s="1300"/>
      <c r="M51" s="1300"/>
      <c r="N51" s="1300"/>
    </row>
    <row r="52" spans="1:14">
      <c r="A52" s="1300"/>
      <c r="B52" s="1300"/>
      <c r="C52" s="1300"/>
      <c r="D52" s="1300"/>
      <c r="E52" s="1300"/>
      <c r="F52" s="1300"/>
      <c r="G52" s="1300"/>
      <c r="H52" s="1300"/>
      <c r="I52" s="1300"/>
      <c r="J52" s="1300"/>
      <c r="K52" s="1300"/>
      <c r="L52" s="1300"/>
      <c r="M52" s="1300"/>
      <c r="N52" s="1300"/>
    </row>
    <row r="53" spans="1:14">
      <c r="A53" s="1300"/>
      <c r="B53" s="1300"/>
      <c r="C53" s="1300"/>
      <c r="D53" s="1300"/>
      <c r="E53" s="1300"/>
      <c r="F53" s="1300"/>
      <c r="G53" s="1300"/>
      <c r="H53" s="1300"/>
      <c r="I53" s="1300"/>
      <c r="J53" s="1300"/>
      <c r="K53" s="1300"/>
      <c r="L53" s="1300"/>
      <c r="M53" s="1300"/>
      <c r="N53" s="1300"/>
    </row>
    <row r="54" spans="1:14">
      <c r="A54" s="1300"/>
      <c r="B54" s="1300"/>
      <c r="C54" s="1300"/>
      <c r="D54" s="1300"/>
      <c r="E54" s="1300"/>
      <c r="F54" s="1300"/>
      <c r="G54" s="1300"/>
      <c r="H54" s="1300"/>
      <c r="I54" s="1300"/>
      <c r="J54" s="1300"/>
      <c r="K54" s="1300"/>
      <c r="L54" s="1300"/>
      <c r="M54" s="1300"/>
      <c r="N54" s="1300"/>
    </row>
    <row r="55" spans="1:14">
      <c r="A55" s="1300"/>
      <c r="B55" s="1300"/>
      <c r="C55" s="1300"/>
      <c r="D55" s="1300"/>
      <c r="E55" s="1300"/>
      <c r="F55" s="1300"/>
      <c r="G55" s="1300"/>
      <c r="H55" s="1300"/>
      <c r="I55" s="1300"/>
      <c r="J55" s="1300"/>
      <c r="K55" s="1300"/>
      <c r="L55" s="1300"/>
      <c r="M55" s="1300"/>
      <c r="N55" s="1300"/>
    </row>
    <row r="56" spans="1:14">
      <c r="A56" s="1300"/>
      <c r="B56" s="1300"/>
      <c r="C56" s="1300"/>
      <c r="D56" s="1300"/>
      <c r="E56" s="1300"/>
      <c r="F56" s="1300"/>
      <c r="G56" s="1300"/>
      <c r="H56" s="1300"/>
      <c r="I56" s="1300"/>
      <c r="J56" s="1300"/>
      <c r="K56" s="1300"/>
      <c r="L56" s="1300"/>
      <c r="M56" s="1300"/>
      <c r="N56" s="1300"/>
    </row>
    <row r="57" spans="1:14">
      <c r="A57" s="1300"/>
      <c r="B57" s="1300"/>
      <c r="C57" s="1300"/>
      <c r="D57" s="1300"/>
      <c r="E57" s="1300"/>
      <c r="F57" s="1300"/>
      <c r="G57" s="1300"/>
      <c r="H57" s="1300"/>
      <c r="I57" s="1300"/>
      <c r="J57" s="1300"/>
      <c r="K57" s="1300"/>
      <c r="L57" s="1300"/>
      <c r="M57" s="1300"/>
      <c r="N57" s="1300"/>
    </row>
    <row r="58" spans="1:14">
      <c r="A58" s="1300"/>
      <c r="B58" s="1300"/>
      <c r="C58" s="1300"/>
      <c r="D58" s="1300"/>
      <c r="E58" s="1300"/>
      <c r="F58" s="1300"/>
      <c r="G58" s="1300"/>
      <c r="H58" s="1300"/>
      <c r="I58" s="1300"/>
      <c r="J58" s="1300"/>
      <c r="K58" s="1300"/>
      <c r="L58" s="1300"/>
      <c r="M58" s="1300"/>
      <c r="N58" s="1300"/>
    </row>
    <row r="59" spans="1:14">
      <c r="A59" s="1300"/>
      <c r="B59" s="1300"/>
      <c r="C59" s="1300"/>
      <c r="D59" s="1300"/>
      <c r="E59" s="1300"/>
      <c r="F59" s="1300"/>
      <c r="G59" s="1300"/>
      <c r="H59" s="1300"/>
      <c r="I59" s="1300"/>
      <c r="J59" s="1300"/>
      <c r="K59" s="1300"/>
      <c r="L59" s="1300"/>
      <c r="M59" s="1300"/>
      <c r="N59" s="1300"/>
    </row>
    <row r="60" spans="1:14">
      <c r="A60" s="1300"/>
      <c r="B60" s="1300"/>
      <c r="C60" s="1300"/>
      <c r="D60" s="1300"/>
      <c r="E60" s="1300"/>
      <c r="F60" s="1300"/>
      <c r="G60" s="1300"/>
      <c r="H60" s="1300"/>
      <c r="I60" s="1300"/>
      <c r="J60" s="1300"/>
      <c r="K60" s="1300"/>
      <c r="L60" s="1300"/>
      <c r="M60" s="1300"/>
      <c r="N60" s="1300"/>
    </row>
    <row r="61" spans="1:14">
      <c r="A61" s="1300"/>
      <c r="B61" s="1300"/>
      <c r="C61" s="1300"/>
      <c r="D61" s="1300"/>
      <c r="E61" s="1300"/>
      <c r="F61" s="1300"/>
      <c r="G61" s="1300"/>
      <c r="H61" s="1300"/>
      <c r="I61" s="1300"/>
      <c r="J61" s="1300"/>
      <c r="K61" s="1300"/>
      <c r="L61" s="1300"/>
      <c r="M61" s="1300"/>
      <c r="N61" s="1300"/>
    </row>
    <row r="62" spans="1:14">
      <c r="A62" s="1300"/>
      <c r="B62" s="1300"/>
      <c r="C62" s="1300"/>
      <c r="D62" s="1300"/>
      <c r="E62" s="1300"/>
      <c r="F62" s="1300"/>
      <c r="G62" s="1300"/>
      <c r="H62" s="1300"/>
      <c r="I62" s="1300"/>
      <c r="J62" s="1300"/>
      <c r="K62" s="1300"/>
      <c r="L62" s="1300"/>
      <c r="M62" s="1300"/>
      <c r="N62" s="1300"/>
    </row>
    <row r="63" spans="1:14">
      <c r="A63" s="1300"/>
      <c r="B63" s="1300"/>
      <c r="C63" s="1300"/>
      <c r="D63" s="1300"/>
      <c r="E63" s="1300"/>
      <c r="F63" s="1300"/>
      <c r="G63" s="1300"/>
      <c r="H63" s="1300"/>
      <c r="I63" s="1300"/>
      <c r="J63" s="1300"/>
      <c r="K63" s="1300"/>
      <c r="L63" s="1300"/>
      <c r="M63" s="1300"/>
      <c r="N63" s="1300"/>
    </row>
    <row r="64" spans="1:14">
      <c r="A64" s="1300"/>
      <c r="B64" s="1300"/>
      <c r="C64" s="1300"/>
      <c r="D64" s="1300"/>
      <c r="E64" s="1300"/>
      <c r="F64" s="1300"/>
      <c r="G64" s="1300"/>
      <c r="H64" s="1300"/>
      <c r="I64" s="1300"/>
      <c r="J64" s="1300"/>
      <c r="K64" s="1300"/>
      <c r="L64" s="1300"/>
      <c r="M64" s="1300"/>
      <c r="N64" s="1300"/>
    </row>
    <row r="65" spans="1:14">
      <c r="A65" s="1300"/>
      <c r="B65" s="1300"/>
      <c r="C65" s="1300"/>
      <c r="D65" s="1300"/>
      <c r="E65" s="1300"/>
      <c r="F65" s="1300"/>
      <c r="G65" s="1300"/>
      <c r="H65" s="1300"/>
      <c r="I65" s="1300"/>
      <c r="J65" s="1300"/>
      <c r="K65" s="1300"/>
      <c r="L65" s="1300"/>
      <c r="M65" s="1300"/>
      <c r="N65" s="1300"/>
    </row>
    <row r="66" spans="1:14">
      <c r="A66" s="1300"/>
      <c r="B66" s="1300"/>
      <c r="C66" s="1300"/>
      <c r="D66" s="1300"/>
      <c r="E66" s="1300"/>
      <c r="F66" s="1300"/>
      <c r="G66" s="1300"/>
      <c r="H66" s="1300"/>
      <c r="I66" s="1300"/>
      <c r="J66" s="1300"/>
      <c r="K66" s="1300"/>
      <c r="L66" s="1300"/>
      <c r="M66" s="1300"/>
      <c r="N66" s="1300"/>
    </row>
    <row r="67" spans="1:14">
      <c r="A67" s="1300"/>
      <c r="B67" s="1300"/>
      <c r="C67" s="1300"/>
      <c r="D67" s="1300"/>
      <c r="E67" s="1300"/>
      <c r="F67" s="1300"/>
      <c r="G67" s="1300"/>
      <c r="H67" s="1300"/>
      <c r="I67" s="1300"/>
      <c r="J67" s="1300"/>
      <c r="K67" s="1300"/>
      <c r="L67" s="1300"/>
      <c r="M67" s="1300"/>
      <c r="N67" s="1300"/>
    </row>
    <row r="68" spans="1:14">
      <c r="A68" s="1300"/>
      <c r="B68" s="1300"/>
      <c r="C68" s="1300"/>
      <c r="D68" s="1300"/>
      <c r="E68" s="1300"/>
      <c r="F68" s="1300"/>
      <c r="G68" s="1300"/>
      <c r="H68" s="1300"/>
      <c r="I68" s="1300"/>
      <c r="J68" s="1300"/>
      <c r="K68" s="1300"/>
      <c r="L68" s="1300"/>
      <c r="M68" s="1300"/>
      <c r="N68" s="1300"/>
    </row>
    <row r="69" spans="1:14">
      <c r="A69" s="1300"/>
      <c r="B69" s="1300"/>
      <c r="C69" s="1300"/>
      <c r="D69" s="1300"/>
      <c r="E69" s="1300"/>
      <c r="F69" s="1300"/>
      <c r="G69" s="1300"/>
      <c r="H69" s="1300"/>
      <c r="I69" s="1300"/>
      <c r="J69" s="1300"/>
      <c r="K69" s="1300"/>
      <c r="L69" s="1300"/>
      <c r="M69" s="1300"/>
      <c r="N69" s="1300"/>
    </row>
    <row r="70" spans="1:14">
      <c r="A70" s="1300"/>
      <c r="B70" s="1300"/>
      <c r="C70" s="1300"/>
      <c r="D70" s="1300"/>
      <c r="E70" s="1300"/>
      <c r="F70" s="1300"/>
      <c r="G70" s="1300"/>
      <c r="H70" s="1300"/>
      <c r="I70" s="1300"/>
      <c r="J70" s="1300"/>
      <c r="K70" s="1300"/>
      <c r="L70" s="1300"/>
      <c r="M70" s="1300"/>
      <c r="N70" s="1300"/>
    </row>
  </sheetData>
  <pageMargins left="0.7" right="0.7" top="0.75" bottom="0.75" header="0.3" footer="0.3"/>
  <pageSetup scale="67" orientation="landscape"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A395C7"/>
  </sheetPr>
  <dimension ref="A1:N214"/>
  <sheetViews>
    <sheetView workbookViewId="0">
      <selection activeCell="J8" sqref="J8"/>
    </sheetView>
  </sheetViews>
  <sheetFormatPr defaultRowHeight="15"/>
  <cols>
    <col min="1" max="1" width="7.5703125" customWidth="1"/>
    <col min="2" max="2" width="6" customWidth="1"/>
    <col min="3" max="7" width="18.140625" customWidth="1"/>
    <col min="8" max="8" width="2" customWidth="1"/>
    <col min="9" max="9" width="24.7109375" bestFit="1" customWidth="1"/>
    <col min="10" max="10" width="18.7109375" customWidth="1"/>
    <col min="11" max="11" width="20.85546875" customWidth="1"/>
    <col min="12" max="12" width="22.28515625" customWidth="1"/>
    <col min="13" max="13" width="24" bestFit="1" customWidth="1"/>
  </cols>
  <sheetData>
    <row r="1" spans="1:14">
      <c r="A1" s="1321" t="s">
        <v>1335</v>
      </c>
      <c r="B1" s="1322"/>
      <c r="C1" s="1322"/>
      <c r="D1" s="1322"/>
      <c r="E1" s="1322"/>
      <c r="F1" s="1322"/>
      <c r="G1" s="1322"/>
      <c r="H1" s="1322"/>
      <c r="I1" s="1323"/>
      <c r="J1" s="1323"/>
      <c r="K1" s="1323"/>
      <c r="L1" s="1323"/>
      <c r="M1" s="1323"/>
      <c r="N1" s="1324"/>
    </row>
    <row r="2" spans="1:14">
      <c r="A2" s="1325" t="s">
        <v>2186</v>
      </c>
      <c r="B2" s="1322"/>
      <c r="C2" s="1322"/>
      <c r="D2" s="1322"/>
      <c r="E2" s="1322"/>
      <c r="F2" s="1322"/>
      <c r="G2" s="1322"/>
      <c r="H2" s="1322"/>
      <c r="I2" s="1323"/>
      <c r="J2" s="1323"/>
      <c r="K2" s="1323"/>
      <c r="L2" s="1323"/>
      <c r="M2" s="1323"/>
      <c r="N2" s="1324"/>
    </row>
    <row r="3" spans="1:14">
      <c r="A3" s="1322"/>
      <c r="B3" s="1322"/>
      <c r="C3" s="1322"/>
      <c r="D3" s="1322"/>
      <c r="E3" s="1322"/>
      <c r="F3" s="1322"/>
      <c r="G3" s="1322"/>
      <c r="H3" s="1322"/>
      <c r="I3" s="1323"/>
      <c r="J3" s="1323"/>
      <c r="K3" s="1323"/>
      <c r="L3" s="1323"/>
      <c r="M3" s="1323"/>
      <c r="N3" s="1324"/>
    </row>
    <row r="4" spans="1:14">
      <c r="A4" s="1326" t="s">
        <v>1336</v>
      </c>
      <c r="B4" s="1322"/>
      <c r="C4" s="1322"/>
      <c r="D4" s="1322"/>
      <c r="E4" s="1322"/>
      <c r="F4" s="1322"/>
      <c r="G4" s="1322"/>
      <c r="H4" s="1322"/>
      <c r="I4" s="1323"/>
      <c r="J4" s="1323"/>
      <c r="K4" s="1323"/>
      <c r="L4" s="1323"/>
      <c r="M4" s="1323"/>
      <c r="N4" s="1324"/>
    </row>
    <row r="5" spans="1:14">
      <c r="A5" s="1327" t="s">
        <v>1337</v>
      </c>
      <c r="B5" s="1328"/>
      <c r="C5" s="1322"/>
      <c r="D5" s="1322"/>
      <c r="E5" s="1322"/>
      <c r="F5" s="1322"/>
      <c r="G5" s="1322"/>
      <c r="H5" s="1322"/>
      <c r="I5" s="1323"/>
      <c r="J5" s="1329"/>
      <c r="K5" s="1323"/>
      <c r="L5" s="1323"/>
      <c r="M5" s="1323"/>
      <c r="N5" s="1324"/>
    </row>
    <row r="6" spans="1:14">
      <c r="A6" s="1327" t="s">
        <v>1338</v>
      </c>
      <c r="B6" s="1328"/>
      <c r="C6" s="1322"/>
      <c r="D6" s="1322"/>
      <c r="E6" s="1322"/>
      <c r="F6" s="1322"/>
      <c r="G6" s="1322"/>
      <c r="H6" s="1322"/>
      <c r="I6" s="1323"/>
      <c r="J6" s="1329"/>
      <c r="K6" s="1323"/>
      <c r="L6" s="1323"/>
      <c r="M6" s="1323"/>
      <c r="N6" s="1324"/>
    </row>
    <row r="7" spans="1:14">
      <c r="A7" s="1322"/>
      <c r="B7" s="1322"/>
      <c r="C7" s="1322"/>
      <c r="D7" s="1322"/>
      <c r="E7" s="1322"/>
      <c r="F7" s="1322"/>
      <c r="G7" s="1322"/>
      <c r="H7" s="1322"/>
      <c r="I7" s="1323"/>
      <c r="J7" s="1330" t="s">
        <v>1339</v>
      </c>
      <c r="K7" s="1323"/>
      <c r="L7" s="1323"/>
      <c r="M7" s="1323"/>
      <c r="N7" s="1324"/>
    </row>
    <row r="8" spans="1:14">
      <c r="A8" s="1322"/>
      <c r="B8" s="1322"/>
      <c r="C8" s="1322"/>
      <c r="D8" s="1322"/>
      <c r="E8" s="1322"/>
      <c r="F8" s="1322"/>
      <c r="G8" s="1322"/>
      <c r="H8" s="1322"/>
      <c r="I8" s="1323"/>
      <c r="J8" s="1331">
        <f>1/65.5/12</f>
        <v>1.2722646310432569E-3</v>
      </c>
      <c r="K8" s="1332"/>
      <c r="L8" s="1332"/>
      <c r="M8" s="1332"/>
      <c r="N8" s="1324"/>
    </row>
    <row r="9" spans="1:14" ht="43.5">
      <c r="A9" s="1333" t="s">
        <v>789</v>
      </c>
      <c r="B9" s="1333" t="s">
        <v>1340</v>
      </c>
      <c r="C9" s="1334" t="s">
        <v>1341</v>
      </c>
      <c r="D9" s="1335" t="s">
        <v>1342</v>
      </c>
      <c r="E9" s="1335" t="s">
        <v>40</v>
      </c>
      <c r="F9" s="1336" t="s">
        <v>1343</v>
      </c>
      <c r="G9" s="1336" t="s">
        <v>1344</v>
      </c>
      <c r="H9" s="1336"/>
      <c r="I9" s="1337" t="s">
        <v>1345</v>
      </c>
      <c r="J9" s="1338" t="s">
        <v>1346</v>
      </c>
      <c r="K9" s="1338" t="s">
        <v>1347</v>
      </c>
      <c r="L9" s="1338" t="s">
        <v>1348</v>
      </c>
      <c r="M9" s="1338" t="s">
        <v>1349</v>
      </c>
      <c r="N9" s="1324"/>
    </row>
    <row r="10" spans="1:14">
      <c r="A10" s="1339">
        <v>2008</v>
      </c>
      <c r="B10" s="1340">
        <v>12</v>
      </c>
      <c r="C10" s="1335"/>
      <c r="D10" s="1335"/>
      <c r="E10" s="1335"/>
      <c r="F10" s="1335"/>
      <c r="G10" s="1335"/>
      <c r="H10" s="1335"/>
      <c r="I10" s="1341"/>
      <c r="J10" s="1342"/>
      <c r="K10" s="1342"/>
      <c r="L10" s="1342"/>
      <c r="M10" s="1342"/>
      <c r="N10" s="1324"/>
    </row>
    <row r="11" spans="1:14">
      <c r="A11" s="1339">
        <v>2009</v>
      </c>
      <c r="B11" s="1340">
        <v>1</v>
      </c>
      <c r="C11" s="1343">
        <v>5595.33</v>
      </c>
      <c r="D11" s="1344"/>
      <c r="E11" s="1344">
        <v>196.67</v>
      </c>
      <c r="F11" s="1344"/>
      <c r="G11" s="1345">
        <v>5792</v>
      </c>
      <c r="H11" s="1346"/>
      <c r="I11" s="1347">
        <v>5595.33</v>
      </c>
      <c r="J11" s="1347"/>
      <c r="K11" s="1347"/>
      <c r="L11" s="1347"/>
      <c r="M11" s="1347"/>
      <c r="N11" s="1324"/>
    </row>
    <row r="12" spans="1:14">
      <c r="A12" s="1340"/>
      <c r="B12" s="1340">
        <v>2</v>
      </c>
      <c r="C12" s="1343"/>
      <c r="D12" s="1344"/>
      <c r="E12" s="1344">
        <v>29.170000000000016</v>
      </c>
      <c r="F12" s="1344"/>
      <c r="G12" s="1345">
        <v>29.170000000000016</v>
      </c>
      <c r="H12" s="1346"/>
      <c r="I12" s="1347">
        <v>5595.33</v>
      </c>
      <c r="J12" s="1347"/>
      <c r="K12" s="1347"/>
      <c r="L12" s="1347"/>
      <c r="M12" s="1347"/>
      <c r="N12" s="1324"/>
    </row>
    <row r="13" spans="1:14">
      <c r="A13" s="1340"/>
      <c r="B13" s="1340">
        <v>3</v>
      </c>
      <c r="C13" s="1343">
        <v>-5595.33</v>
      </c>
      <c r="D13" s="1344">
        <v>5595.33</v>
      </c>
      <c r="E13" s="1344">
        <v>11.87</v>
      </c>
      <c r="F13" s="1344"/>
      <c r="G13" s="1345">
        <v>11.87</v>
      </c>
      <c r="H13" s="1346"/>
      <c r="I13" s="1347">
        <v>0</v>
      </c>
      <c r="J13" s="1347"/>
      <c r="K13" s="1347"/>
      <c r="L13" s="1347"/>
      <c r="M13" s="1347"/>
      <c r="N13" s="1324"/>
    </row>
    <row r="14" spans="1:14">
      <c r="A14" s="1340"/>
      <c r="B14" s="1340">
        <v>4</v>
      </c>
      <c r="C14" s="1343"/>
      <c r="D14" s="1344"/>
      <c r="E14" s="1344">
        <v>2.14</v>
      </c>
      <c r="F14" s="1344"/>
      <c r="G14" s="1345">
        <v>2.14</v>
      </c>
      <c r="H14" s="1346"/>
      <c r="I14" s="1347">
        <v>0</v>
      </c>
      <c r="J14" s="1347"/>
      <c r="K14" s="1347"/>
      <c r="L14" s="1347"/>
      <c r="M14" s="1347"/>
      <c r="N14" s="1324"/>
    </row>
    <row r="15" spans="1:14">
      <c r="A15" s="1340"/>
      <c r="B15" s="1340">
        <v>5</v>
      </c>
      <c r="C15" s="1343"/>
      <c r="D15" s="1344"/>
      <c r="E15" s="1344">
        <v>0.1</v>
      </c>
      <c r="F15" s="1344"/>
      <c r="G15" s="1345">
        <v>0.1</v>
      </c>
      <c r="H15" s="1346"/>
      <c r="I15" s="1347">
        <v>0</v>
      </c>
      <c r="J15" s="1347"/>
      <c r="K15" s="1347"/>
      <c r="L15" s="1347"/>
      <c r="M15" s="1347"/>
      <c r="N15" s="1324"/>
    </row>
    <row r="16" spans="1:14">
      <c r="A16" s="1340"/>
      <c r="B16" s="1340">
        <v>6</v>
      </c>
      <c r="C16" s="1343"/>
      <c r="D16" s="1344"/>
      <c r="E16" s="1344">
        <v>0.1</v>
      </c>
      <c r="F16" s="1344"/>
      <c r="G16" s="1345">
        <v>0.1</v>
      </c>
      <c r="H16" s="1346"/>
      <c r="I16" s="1347">
        <v>0</v>
      </c>
      <c r="J16" s="1347"/>
      <c r="K16" s="1347"/>
      <c r="L16" s="1347"/>
      <c r="M16" s="1347"/>
      <c r="N16" s="1324"/>
    </row>
    <row r="17" spans="1:14">
      <c r="A17" s="1340"/>
      <c r="B17" s="1340">
        <v>7</v>
      </c>
      <c r="C17" s="1343"/>
      <c r="D17" s="1344"/>
      <c r="E17" s="1344">
        <v>291535.07</v>
      </c>
      <c r="F17" s="1344"/>
      <c r="G17" s="1345">
        <v>291535.07</v>
      </c>
      <c r="H17" s="1346"/>
      <c r="I17" s="1347">
        <v>0</v>
      </c>
      <c r="J17" s="1347"/>
      <c r="K17" s="1347"/>
      <c r="L17" s="1347"/>
      <c r="M17" s="1347"/>
      <c r="N17" s="1324"/>
    </row>
    <row r="18" spans="1:14">
      <c r="A18" s="1340"/>
      <c r="B18" s="1340">
        <v>8</v>
      </c>
      <c r="C18" s="1343"/>
      <c r="D18" s="1344">
        <v>22386.29</v>
      </c>
      <c r="E18" s="1344">
        <v>834.29000000000008</v>
      </c>
      <c r="F18" s="1344"/>
      <c r="G18" s="1345">
        <v>23220.58</v>
      </c>
      <c r="H18" s="1346"/>
      <c r="I18" s="1347">
        <v>0</v>
      </c>
      <c r="J18" s="1347"/>
      <c r="K18" s="1347"/>
      <c r="L18" s="1347"/>
      <c r="M18" s="1347"/>
      <c r="N18" s="1324"/>
    </row>
    <row r="19" spans="1:14">
      <c r="A19" s="1340"/>
      <c r="B19" s="1340">
        <v>9</v>
      </c>
      <c r="C19" s="1343"/>
      <c r="D19" s="1344">
        <v>3940</v>
      </c>
      <c r="E19" s="1344">
        <v>2218516.3000000003</v>
      </c>
      <c r="F19" s="1344"/>
      <c r="G19" s="1345">
        <v>2222456.3000000003</v>
      </c>
      <c r="H19" s="1346"/>
      <c r="I19" s="1347">
        <v>0</v>
      </c>
      <c r="J19" s="1347"/>
      <c r="K19" s="1347"/>
      <c r="L19" s="1347"/>
      <c r="M19" s="1347"/>
      <c r="N19" s="1324"/>
    </row>
    <row r="20" spans="1:14">
      <c r="A20" s="1340"/>
      <c r="B20" s="1340">
        <v>10</v>
      </c>
      <c r="C20" s="1343"/>
      <c r="D20" s="1344">
        <v>0</v>
      </c>
      <c r="E20" s="1344">
        <v>14137.84</v>
      </c>
      <c r="F20" s="1344"/>
      <c r="G20" s="1345">
        <v>14137.84</v>
      </c>
      <c r="H20" s="1346"/>
      <c r="I20" s="1347">
        <v>0</v>
      </c>
      <c r="J20" s="1347"/>
      <c r="K20" s="1347"/>
      <c r="L20" s="1347"/>
      <c r="M20" s="1347"/>
      <c r="N20" s="1324"/>
    </row>
    <row r="21" spans="1:14">
      <c r="A21" s="1340"/>
      <c r="B21" s="1340">
        <v>11</v>
      </c>
      <c r="C21" s="1343"/>
      <c r="D21" s="1344"/>
      <c r="E21" s="1344">
        <v>713565.12</v>
      </c>
      <c r="F21" s="1344"/>
      <c r="G21" s="1345">
        <v>713565.12</v>
      </c>
      <c r="H21" s="1346"/>
      <c r="I21" s="1347">
        <v>0</v>
      </c>
      <c r="J21" s="1347"/>
      <c r="K21" s="1347"/>
      <c r="L21" s="1347"/>
      <c r="M21" s="1347"/>
      <c r="N21" s="1324"/>
    </row>
    <row r="22" spans="1:14">
      <c r="A22" s="1340"/>
      <c r="B22" s="1340">
        <v>12</v>
      </c>
      <c r="C22" s="1343">
        <v>49329088.560000002</v>
      </c>
      <c r="D22" s="1344">
        <v>90.72</v>
      </c>
      <c r="E22" s="1344">
        <v>915261.9</v>
      </c>
      <c r="F22" s="1344"/>
      <c r="G22" s="1345">
        <v>50244441.18</v>
      </c>
      <c r="H22" s="1346"/>
      <c r="I22" s="1348">
        <v>49329088.560000002</v>
      </c>
      <c r="J22" s="1341">
        <v>35437.56362068966</v>
      </c>
      <c r="K22" s="1341">
        <v>35437.56362068966</v>
      </c>
      <c r="L22" s="1347">
        <v>49293650.996379316</v>
      </c>
      <c r="M22" s="1349">
        <v>3791819.3074137936</v>
      </c>
      <c r="N22" s="1324"/>
    </row>
    <row r="23" spans="1:14">
      <c r="A23" s="1339">
        <v>2010</v>
      </c>
      <c r="B23" s="1340">
        <v>1</v>
      </c>
      <c r="C23" s="1344"/>
      <c r="D23" s="1344"/>
      <c r="E23" s="1344">
        <v>-2660.5800000000008</v>
      </c>
      <c r="F23" s="1344"/>
      <c r="G23" s="1345">
        <v>-2660.5800000000008</v>
      </c>
      <c r="H23" s="1346"/>
      <c r="I23" s="1347">
        <v>49329088.560000002</v>
      </c>
      <c r="J23" s="1341">
        <v>70875.127241379319</v>
      </c>
      <c r="K23" s="1341">
        <v>106312.69086206898</v>
      </c>
      <c r="L23" s="1347">
        <v>49222775.869137935</v>
      </c>
      <c r="M23" s="1347"/>
      <c r="N23" s="1324"/>
    </row>
    <row r="24" spans="1:14">
      <c r="A24" s="1340"/>
      <c r="B24" s="1340">
        <v>2</v>
      </c>
      <c r="C24" s="1344"/>
      <c r="D24" s="1344"/>
      <c r="E24" s="1344">
        <v>56707.81</v>
      </c>
      <c r="F24" s="1344"/>
      <c r="G24" s="1345">
        <v>56707.81</v>
      </c>
      <c r="H24" s="1346"/>
      <c r="I24" s="1347">
        <v>49329088.560000002</v>
      </c>
      <c r="J24" s="1341">
        <v>70875.127241379319</v>
      </c>
      <c r="K24" s="1341">
        <v>177187.81810344831</v>
      </c>
      <c r="L24" s="1347">
        <v>49151900.741896555</v>
      </c>
      <c r="M24" s="1347"/>
      <c r="N24" s="1324"/>
    </row>
    <row r="25" spans="1:14">
      <c r="A25" s="1340"/>
      <c r="B25" s="1340">
        <v>3</v>
      </c>
      <c r="C25" s="1344">
        <v>186516475.59000003</v>
      </c>
      <c r="D25" s="1344">
        <v>4593.3</v>
      </c>
      <c r="E25" s="1344">
        <v>1540415.9000000001</v>
      </c>
      <c r="F25" s="1344"/>
      <c r="G25" s="1345">
        <v>188061484.79000005</v>
      </c>
      <c r="H25" s="1346"/>
      <c r="I25" s="1347">
        <v>235845564.15000004</v>
      </c>
      <c r="J25" s="1341">
        <v>204866.84821120693</v>
      </c>
      <c r="K25" s="1341">
        <v>382054.66631465522</v>
      </c>
      <c r="L25" s="1347">
        <v>235463509.48368537</v>
      </c>
      <c r="M25" s="1347"/>
      <c r="N25" s="1324"/>
    </row>
    <row r="26" spans="1:14">
      <c r="A26" s="1340"/>
      <c r="B26" s="1340">
        <v>4</v>
      </c>
      <c r="C26" s="1344">
        <v>10877334.39999998</v>
      </c>
      <c r="D26" s="1344">
        <v>4.9999999999727152E-2</v>
      </c>
      <c r="E26" s="1344">
        <v>101389.12</v>
      </c>
      <c r="F26" s="1344"/>
      <c r="G26" s="1345">
        <v>10978723.56999998</v>
      </c>
      <c r="H26" s="1346"/>
      <c r="I26" s="1347">
        <v>246722898.55000001</v>
      </c>
      <c r="J26" s="1341">
        <v>346672.74619252875</v>
      </c>
      <c r="K26" s="1341">
        <v>728727.41250718397</v>
      </c>
      <c r="L26" s="1347">
        <v>245994171.13749284</v>
      </c>
      <c r="M26" s="1347"/>
      <c r="N26" s="1324"/>
    </row>
    <row r="27" spans="1:14">
      <c r="A27" s="1340"/>
      <c r="B27" s="1340">
        <v>5</v>
      </c>
      <c r="C27" s="1344">
        <v>-353166.11999999569</v>
      </c>
      <c r="D27" s="1344"/>
      <c r="E27" s="1344">
        <v>45114.470000000008</v>
      </c>
      <c r="F27" s="1344"/>
      <c r="G27" s="1345">
        <v>-308051.64999999566</v>
      </c>
      <c r="H27" s="1346"/>
      <c r="I27" s="1347">
        <v>246369732.43000001</v>
      </c>
      <c r="J27" s="1341">
        <v>354233.21191091952</v>
      </c>
      <c r="K27" s="1341">
        <v>1082960.6244181036</v>
      </c>
      <c r="L27" s="1347">
        <v>245286771.8055819</v>
      </c>
      <c r="M27" s="1347"/>
      <c r="N27" s="1324"/>
    </row>
    <row r="28" spans="1:14">
      <c r="A28" s="1340"/>
      <c r="B28" s="1340">
        <v>6</v>
      </c>
      <c r="C28" s="1344">
        <v>798120.67999998387</v>
      </c>
      <c r="D28" s="1344">
        <v>-12163.470000000001</v>
      </c>
      <c r="E28" s="1344">
        <v>82042.029999999984</v>
      </c>
      <c r="F28" s="1344"/>
      <c r="G28" s="1345">
        <v>867999.23999998393</v>
      </c>
      <c r="H28" s="1346"/>
      <c r="I28" s="1347">
        <v>247167853.10999998</v>
      </c>
      <c r="J28" s="1341">
        <v>354552.86317528738</v>
      </c>
      <c r="K28" s="1341">
        <v>1437513.487593391</v>
      </c>
      <c r="L28" s="1347">
        <v>245730339.6224066</v>
      </c>
      <c r="M28" s="1347"/>
      <c r="N28" s="1324"/>
    </row>
    <row r="29" spans="1:14">
      <c r="A29" s="1340"/>
      <c r="B29" s="1340">
        <v>7</v>
      </c>
      <c r="C29" s="1344">
        <v>1116636.3700000001</v>
      </c>
      <c r="D29" s="1344">
        <v>1294.0999999999999</v>
      </c>
      <c r="E29" s="1344">
        <v>21234.670000000024</v>
      </c>
      <c r="F29" s="1344"/>
      <c r="G29" s="1345">
        <v>1139165.1400000001</v>
      </c>
      <c r="H29" s="1346"/>
      <c r="I29" s="1347">
        <v>248284489.47999999</v>
      </c>
      <c r="J29" s="1341">
        <v>355928.40703304595</v>
      </c>
      <c r="K29" s="1341">
        <v>1793441.894626437</v>
      </c>
      <c r="L29" s="1347">
        <v>246491047.58537355</v>
      </c>
      <c r="M29" s="1347"/>
      <c r="N29" s="1324"/>
    </row>
    <row r="30" spans="1:14">
      <c r="A30" s="1340"/>
      <c r="B30" s="1340">
        <v>8</v>
      </c>
      <c r="C30" s="1344">
        <v>392805.13</v>
      </c>
      <c r="D30" s="1344">
        <v>-38.079999999999927</v>
      </c>
      <c r="E30" s="1344">
        <v>32124.50999999998</v>
      </c>
      <c r="F30" s="1344"/>
      <c r="G30" s="1345">
        <v>424891.55999999994</v>
      </c>
      <c r="H30" s="1346"/>
      <c r="I30" s="1347">
        <v>248677294.60999998</v>
      </c>
      <c r="J30" s="1341">
        <v>357012.77592672413</v>
      </c>
      <c r="K30" s="1341">
        <v>2150454.6705531613</v>
      </c>
      <c r="L30" s="1347">
        <v>246526839.93944684</v>
      </c>
      <c r="M30" s="1347"/>
      <c r="N30" s="1324"/>
    </row>
    <row r="31" spans="1:14">
      <c r="A31" s="1340"/>
      <c r="B31" s="1340">
        <v>9</v>
      </c>
      <c r="C31" s="1344">
        <v>-81061.900000000038</v>
      </c>
      <c r="D31" s="1344">
        <v>-2506.2800000000002</v>
      </c>
      <c r="E31" s="1344">
        <v>-61825.96</v>
      </c>
      <c r="F31" s="1344"/>
      <c r="G31" s="1345">
        <v>-145394.14000000004</v>
      </c>
      <c r="H31" s="1346"/>
      <c r="I31" s="1347">
        <v>248596232.70999998</v>
      </c>
      <c r="J31" s="1341">
        <v>357236.72939655167</v>
      </c>
      <c r="K31" s="1341">
        <v>2507691.3999497131</v>
      </c>
      <c r="L31" s="1347">
        <v>246088541.31005028</v>
      </c>
      <c r="M31" s="1347"/>
      <c r="N31" s="1324"/>
    </row>
    <row r="32" spans="1:14">
      <c r="A32" s="1340"/>
      <c r="B32" s="1340">
        <v>10</v>
      </c>
      <c r="C32" s="1344">
        <v>87873223.509999976</v>
      </c>
      <c r="D32" s="1344">
        <v>36378.14</v>
      </c>
      <c r="E32" s="1344">
        <v>8623922.4899999984</v>
      </c>
      <c r="F32" s="1344">
        <v>364553.74</v>
      </c>
      <c r="G32" s="1345">
        <v>96898077.879999965</v>
      </c>
      <c r="H32" s="1346"/>
      <c r="I32" s="1347">
        <v>336469456.21999997</v>
      </c>
      <c r="J32" s="1341">
        <v>420305.81101293094</v>
      </c>
      <c r="K32" s="1341">
        <v>2927997.2109626438</v>
      </c>
      <c r="L32" s="1347">
        <v>333541459.00903732</v>
      </c>
      <c r="M32" s="1347"/>
      <c r="N32" s="1324"/>
    </row>
    <row r="33" spans="1:14">
      <c r="A33" s="1340"/>
      <c r="B33" s="1340">
        <v>11</v>
      </c>
      <c r="C33" s="1344">
        <v>434391075.3300001</v>
      </c>
      <c r="D33" s="1344">
        <v>-4161.4500000000007</v>
      </c>
      <c r="E33" s="1344">
        <v>-1457462.9400000004</v>
      </c>
      <c r="F33" s="1344">
        <v>2700529.23</v>
      </c>
      <c r="G33" s="1345">
        <v>435629980.17000014</v>
      </c>
      <c r="H33" s="1346"/>
      <c r="I33" s="1347">
        <v>770860531.55000007</v>
      </c>
      <c r="J33" s="1341">
        <v>795495.68086925289</v>
      </c>
      <c r="K33" s="1341">
        <v>3723492.8918318967</v>
      </c>
      <c r="L33" s="1347">
        <v>767137038.6581682</v>
      </c>
      <c r="M33" s="1347"/>
      <c r="N33" s="1324"/>
    </row>
    <row r="34" spans="1:14">
      <c r="A34" s="1340"/>
      <c r="B34" s="1340">
        <v>12</v>
      </c>
      <c r="C34" s="1344">
        <v>7978725.1199999703</v>
      </c>
      <c r="D34" s="1344">
        <v>4034.919999999991</v>
      </c>
      <c r="E34" s="1344">
        <v>943607.23</v>
      </c>
      <c r="F34" s="1344">
        <v>970519.44000000006</v>
      </c>
      <c r="G34" s="1345">
        <v>9896886.7099999748</v>
      </c>
      <c r="H34" s="1346"/>
      <c r="I34" s="1348">
        <v>778839256.67000008</v>
      </c>
      <c r="J34" s="1341">
        <v>1113290.077744253</v>
      </c>
      <c r="K34" s="1341">
        <v>4836782.9695761502</v>
      </c>
      <c r="L34" s="1347">
        <v>774002473.70042396</v>
      </c>
      <c r="M34" s="1349">
        <v>287225424.6045447</v>
      </c>
      <c r="N34" s="1324"/>
    </row>
    <row r="35" spans="1:14">
      <c r="A35" s="1339">
        <v>2011</v>
      </c>
      <c r="B35" s="1340">
        <v>1</v>
      </c>
      <c r="C35" s="1344">
        <v>1570431.4800000181</v>
      </c>
      <c r="D35" s="1344">
        <v>150</v>
      </c>
      <c r="E35" s="1344">
        <v>81574.509999999995</v>
      </c>
      <c r="F35" s="1344">
        <v>21651.35</v>
      </c>
      <c r="G35" s="1345">
        <v>1673807.3400000182</v>
      </c>
      <c r="H35" s="1346"/>
      <c r="I35" s="1347">
        <v>780409688.1500001</v>
      </c>
      <c r="J35" s="1341">
        <v>1120150.1040373563</v>
      </c>
      <c r="K35" s="1341">
        <v>5956933.0736135067</v>
      </c>
      <c r="L35" s="1347">
        <v>774452755.07638657</v>
      </c>
      <c r="M35" s="1347"/>
      <c r="N35" s="1324"/>
    </row>
    <row r="36" spans="1:14">
      <c r="A36" s="1340"/>
      <c r="B36" s="1340">
        <v>2</v>
      </c>
      <c r="C36" s="1344">
        <v>14494419.71000002</v>
      </c>
      <c r="D36" s="1344">
        <v>203.29000000000002</v>
      </c>
      <c r="E36" s="1344">
        <v>32193.41</v>
      </c>
      <c r="F36" s="1344">
        <v>1865956.72</v>
      </c>
      <c r="G36" s="1345">
        <v>16392773.130000019</v>
      </c>
      <c r="H36" s="1346"/>
      <c r="I36" s="1347">
        <v>794904107.86000013</v>
      </c>
      <c r="J36" s="1341">
        <v>1131690.945409483</v>
      </c>
      <c r="K36" s="1341">
        <v>7088624.01902299</v>
      </c>
      <c r="L36" s="1347">
        <v>787815483.84097719</v>
      </c>
      <c r="M36" s="1347"/>
      <c r="N36" s="1324"/>
    </row>
    <row r="37" spans="1:14">
      <c r="A37" s="1340"/>
      <c r="B37" s="1340">
        <v>3</v>
      </c>
      <c r="C37" s="1344">
        <v>-1319835.47</v>
      </c>
      <c r="D37" s="1344"/>
      <c r="E37" s="1344">
        <v>50543.16</v>
      </c>
      <c r="F37" s="1344">
        <v>62917.19999999999</v>
      </c>
      <c r="G37" s="1345">
        <v>-1206375.1100000001</v>
      </c>
      <c r="H37" s="1346"/>
      <c r="I37" s="1347">
        <v>793584272.3900001</v>
      </c>
      <c r="J37" s="1341">
        <v>1141155.4455818967</v>
      </c>
      <c r="K37" s="1341">
        <v>8229779.4646048862</v>
      </c>
      <c r="L37" s="1347">
        <v>785354492.92539525</v>
      </c>
      <c r="M37" s="1347"/>
      <c r="N37" s="1324"/>
    </row>
    <row r="38" spans="1:14">
      <c r="A38" s="1340"/>
      <c r="B38" s="1340">
        <v>4</v>
      </c>
      <c r="C38" s="1344">
        <v>818994.6799999997</v>
      </c>
      <c r="D38" s="1344">
        <v>-1945.55</v>
      </c>
      <c r="E38" s="1344">
        <v>7431.9300000000012</v>
      </c>
      <c r="F38" s="1344">
        <v>-16373.909999999994</v>
      </c>
      <c r="G38" s="1345">
        <v>808107.14999999967</v>
      </c>
      <c r="H38" s="1346"/>
      <c r="I38" s="1347">
        <v>794403267.07000005</v>
      </c>
      <c r="J38" s="1341">
        <v>1140795.6461637933</v>
      </c>
      <c r="K38" s="1341">
        <v>9370575.1107686795</v>
      </c>
      <c r="L38" s="1347">
        <v>785032691.95923138</v>
      </c>
      <c r="M38" s="1347"/>
      <c r="N38" s="1324"/>
    </row>
    <row r="39" spans="1:14">
      <c r="A39" s="1340"/>
      <c r="B39" s="1340">
        <v>5</v>
      </c>
      <c r="C39" s="1344">
        <v>-674048.58999999892</v>
      </c>
      <c r="D39" s="1344"/>
      <c r="E39" s="1344">
        <v>16323.12</v>
      </c>
      <c r="F39" s="1344">
        <v>62500.57</v>
      </c>
      <c r="G39" s="1345">
        <v>-595224.89999999898</v>
      </c>
      <c r="H39" s="1346"/>
      <c r="I39" s="1347">
        <v>793729218.48000002</v>
      </c>
      <c r="J39" s="1341">
        <v>1140899.7741020115</v>
      </c>
      <c r="K39" s="1341">
        <v>10511474.884870691</v>
      </c>
      <c r="L39" s="1347">
        <v>783217743.59512937</v>
      </c>
      <c r="M39" s="1347"/>
      <c r="N39" s="1324"/>
    </row>
    <row r="40" spans="1:14">
      <c r="A40" s="1340"/>
      <c r="B40" s="1340">
        <v>6</v>
      </c>
      <c r="C40" s="1344">
        <v>6013549.9000000004</v>
      </c>
      <c r="D40" s="1344"/>
      <c r="E40" s="1344">
        <v>27267.920000000002</v>
      </c>
      <c r="F40" s="1344">
        <v>4503.0700000000006</v>
      </c>
      <c r="G40" s="1345">
        <v>6045320.8900000006</v>
      </c>
      <c r="H40" s="1346"/>
      <c r="I40" s="1347">
        <v>799742768.38</v>
      </c>
      <c r="J40" s="1341">
        <v>1144735.6227442529</v>
      </c>
      <c r="K40" s="1341">
        <v>11656210.507614944</v>
      </c>
      <c r="L40" s="1347">
        <v>788086557.87238503</v>
      </c>
      <c r="M40" s="1347"/>
      <c r="N40" s="1324"/>
    </row>
    <row r="41" spans="1:14">
      <c r="A41" s="1340"/>
      <c r="B41" s="1340">
        <v>7</v>
      </c>
      <c r="C41" s="1344">
        <v>225620.78999999992</v>
      </c>
      <c r="D41" s="1344"/>
      <c r="E41" s="1344">
        <v>12962.32</v>
      </c>
      <c r="F41" s="1344">
        <v>-11911.15</v>
      </c>
      <c r="G41" s="1345">
        <v>226671.95999999993</v>
      </c>
      <c r="H41" s="1346"/>
      <c r="I41" s="1347">
        <v>799968389.16999996</v>
      </c>
      <c r="J41" s="1341">
        <v>1149217.7855962645</v>
      </c>
      <c r="K41" s="1341">
        <v>12805428.293211209</v>
      </c>
      <c r="L41" s="1347">
        <v>787162960.87678874</v>
      </c>
      <c r="M41" s="1347"/>
      <c r="N41" s="1324"/>
    </row>
    <row r="42" spans="1:14">
      <c r="A42" s="1340"/>
      <c r="B42" s="1340">
        <v>8</v>
      </c>
      <c r="C42" s="1344">
        <v>292520.68000000005</v>
      </c>
      <c r="D42" s="1344"/>
      <c r="E42" s="1344">
        <v>-146659.68</v>
      </c>
      <c r="F42" s="1344">
        <v>-419.81999999999982</v>
      </c>
      <c r="G42" s="1345">
        <v>145441.18000000005</v>
      </c>
      <c r="H42" s="1346"/>
      <c r="I42" s="1347">
        <v>800260909.8499999</v>
      </c>
      <c r="J42" s="1341">
        <v>1149590.0136637932</v>
      </c>
      <c r="K42" s="1341">
        <v>13955018.306875002</v>
      </c>
      <c r="L42" s="1347">
        <v>786305891.54312491</v>
      </c>
      <c r="M42" s="1347"/>
      <c r="N42" s="1324"/>
    </row>
    <row r="43" spans="1:14">
      <c r="A43" s="1340"/>
      <c r="B43" s="1340">
        <v>9</v>
      </c>
      <c r="C43" s="1344">
        <v>2253449.2999999998</v>
      </c>
      <c r="D43" s="1344"/>
      <c r="E43" s="1344">
        <v>1664.07</v>
      </c>
      <c r="F43" s="1344">
        <v>13507.07</v>
      </c>
      <c r="G43" s="1345">
        <v>2268620.4399999995</v>
      </c>
      <c r="H43" s="1346"/>
      <c r="I43" s="1347">
        <v>802514359.14999986</v>
      </c>
      <c r="J43" s="1341">
        <v>1151419.0150862066</v>
      </c>
      <c r="K43" s="1341">
        <v>15106437.321961209</v>
      </c>
      <c r="L43" s="1347">
        <v>787407921.82803869</v>
      </c>
      <c r="M43" s="1347"/>
      <c r="N43" s="1324"/>
    </row>
    <row r="44" spans="1:14">
      <c r="A44" s="1340"/>
      <c r="B44" s="1340">
        <v>10</v>
      </c>
      <c r="C44" s="1344">
        <v>-169597.82000000009</v>
      </c>
      <c r="D44" s="1344"/>
      <c r="E44" s="1344">
        <v>114065.09</v>
      </c>
      <c r="F44" s="1344">
        <v>90745.720000000088</v>
      </c>
      <c r="G44" s="1345">
        <v>35212.989999999991</v>
      </c>
      <c r="H44" s="1346"/>
      <c r="I44" s="1347">
        <v>802344761.3299998</v>
      </c>
      <c r="J44" s="1341">
        <v>1152916.034827586</v>
      </c>
      <c r="K44" s="1341">
        <v>16259353.356788795</v>
      </c>
      <c r="L44" s="1347">
        <v>786085407.97321105</v>
      </c>
      <c r="M44" s="1347"/>
      <c r="N44" s="1324"/>
    </row>
    <row r="45" spans="1:14">
      <c r="A45" s="1340"/>
      <c r="B45" s="1340">
        <v>11</v>
      </c>
      <c r="C45" s="1344">
        <v>-125784.32000000015</v>
      </c>
      <c r="D45" s="1344"/>
      <c r="E45" s="1344">
        <v>86833.01</v>
      </c>
      <c r="F45" s="1344">
        <v>-1201.9299999999989</v>
      </c>
      <c r="G45" s="1345">
        <v>-40153.240000000158</v>
      </c>
      <c r="H45" s="1346"/>
      <c r="I45" s="1347">
        <v>802218977.00999975</v>
      </c>
      <c r="J45" s="1341">
        <v>1152703.8350143675</v>
      </c>
      <c r="K45" s="1341">
        <v>17412057.191803165</v>
      </c>
      <c r="L45" s="1347">
        <v>784806919.81819654</v>
      </c>
      <c r="M45" s="1347"/>
      <c r="N45" s="1324"/>
    </row>
    <row r="46" spans="1:14">
      <c r="A46" s="1340"/>
      <c r="B46" s="1340">
        <v>12</v>
      </c>
      <c r="C46" s="1344">
        <v>91950.220000000016</v>
      </c>
      <c r="D46" s="1344">
        <v>87946.400000000009</v>
      </c>
      <c r="E46" s="1344">
        <v>-2114.7600000000002</v>
      </c>
      <c r="F46" s="1344">
        <v>-15583.36</v>
      </c>
      <c r="G46" s="1345">
        <v>162198.5</v>
      </c>
      <c r="H46" s="1346"/>
      <c r="I46" s="1348">
        <v>802310927.22999978</v>
      </c>
      <c r="J46" s="1341">
        <v>1152679.5289080455</v>
      </c>
      <c r="K46" s="1341">
        <v>18564736.720711209</v>
      </c>
      <c r="L46" s="1347">
        <v>783746190.50928855</v>
      </c>
      <c r="M46" s="1349">
        <v>784113653.19373691</v>
      </c>
      <c r="N46" s="1324"/>
    </row>
    <row r="47" spans="1:14">
      <c r="A47" s="1339">
        <v>2012</v>
      </c>
      <c r="B47" s="1340">
        <v>1</v>
      </c>
      <c r="C47" s="1345">
        <v>36175.22000000003</v>
      </c>
      <c r="D47" s="1345">
        <v>5450.7599999999948</v>
      </c>
      <c r="E47" s="1345">
        <v>18068</v>
      </c>
      <c r="F47" s="1345"/>
      <c r="G47" s="1345">
        <v>59693.980000000025</v>
      </c>
      <c r="H47" s="1346"/>
      <c r="I47" s="1347">
        <v>802347102.44999981</v>
      </c>
      <c r="J47" s="1341">
        <v>1152771.5730459767</v>
      </c>
      <c r="K47" s="1341">
        <v>19717508.293757185</v>
      </c>
      <c r="L47" s="1347">
        <v>782629594.15624261</v>
      </c>
      <c r="M47" s="1347"/>
      <c r="N47" s="1324"/>
    </row>
    <row r="48" spans="1:14">
      <c r="A48" s="1340"/>
      <c r="B48" s="1340">
        <v>2</v>
      </c>
      <c r="C48" s="1345">
        <v>72991.140000000101</v>
      </c>
      <c r="D48" s="1345">
        <v>-3198.7500000000005</v>
      </c>
      <c r="E48" s="1345">
        <v>9638.2299999999977</v>
      </c>
      <c r="F48" s="1345">
        <v>7334.5300000000007</v>
      </c>
      <c r="G48" s="1345">
        <v>86765.150000000096</v>
      </c>
      <c r="H48" s="1346"/>
      <c r="I48" s="1347">
        <v>802420093.58999979</v>
      </c>
      <c r="J48" s="1341">
        <v>1152849.9971551721</v>
      </c>
      <c r="K48" s="1341">
        <v>20870358.290912356</v>
      </c>
      <c r="L48" s="1347">
        <v>781549735.29908741</v>
      </c>
      <c r="M48" s="1347"/>
      <c r="N48" s="1324"/>
    </row>
    <row r="49" spans="1:14">
      <c r="A49" s="1340"/>
      <c r="B49" s="1340">
        <v>3</v>
      </c>
      <c r="C49" s="1345">
        <v>990797.12000000011</v>
      </c>
      <c r="D49" s="1345">
        <v>-3043.53</v>
      </c>
      <c r="E49" s="1345"/>
      <c r="F49" s="1345"/>
      <c r="G49" s="1345">
        <v>987753.59000000008</v>
      </c>
      <c r="H49" s="1346"/>
      <c r="I49" s="1347">
        <v>803410890.7099998</v>
      </c>
      <c r="J49" s="1341">
        <v>1153614.212859195</v>
      </c>
      <c r="K49" s="1341">
        <v>22023972.503771551</v>
      </c>
      <c r="L49" s="1347">
        <v>781386918.20622826</v>
      </c>
      <c r="M49" s="1347"/>
      <c r="N49" s="1324"/>
    </row>
    <row r="50" spans="1:14">
      <c r="A50" s="1340"/>
      <c r="B50" s="1340">
        <v>4</v>
      </c>
      <c r="C50" s="1345">
        <v>970877.82</v>
      </c>
      <c r="D50" s="1345"/>
      <c r="E50" s="1345"/>
      <c r="F50" s="1345"/>
      <c r="G50" s="1345">
        <v>970877.82</v>
      </c>
      <c r="H50" s="1346"/>
      <c r="I50" s="1347">
        <v>804381768.52999985</v>
      </c>
      <c r="J50" s="1341">
        <v>1155023.4620977009</v>
      </c>
      <c r="K50" s="1341">
        <v>23178995.965869252</v>
      </c>
      <c r="L50" s="1347">
        <v>781202772.56413054</v>
      </c>
      <c r="M50" s="1347"/>
      <c r="N50" s="1324"/>
    </row>
    <row r="51" spans="1:14">
      <c r="A51" s="1340"/>
      <c r="B51" s="1340">
        <v>5</v>
      </c>
      <c r="C51" s="1345">
        <v>-384812.7</v>
      </c>
      <c r="D51" s="1345">
        <v>-89.579999999999472</v>
      </c>
      <c r="E51" s="1345"/>
      <c r="F51" s="1345"/>
      <c r="G51" s="1345">
        <v>-384902.28</v>
      </c>
      <c r="H51" s="1346"/>
      <c r="I51" s="1347">
        <v>803996955.8299998</v>
      </c>
      <c r="J51" s="1341">
        <v>1155444.4858908043</v>
      </c>
      <c r="K51" s="1341">
        <v>24334440.451760057</v>
      </c>
      <c r="L51" s="1347">
        <v>779662515.37823975</v>
      </c>
      <c r="M51" s="1347"/>
      <c r="N51" s="1324"/>
    </row>
    <row r="52" spans="1:14">
      <c r="A52" s="1340"/>
      <c r="B52" s="1340">
        <v>6</v>
      </c>
      <c r="C52" s="1345">
        <v>3221591.9999999991</v>
      </c>
      <c r="D52" s="1345"/>
      <c r="E52" s="1345">
        <v>6011.32</v>
      </c>
      <c r="F52" s="1345"/>
      <c r="G52" s="1345">
        <v>3227603.3199999989</v>
      </c>
      <c r="H52" s="1346"/>
      <c r="I52" s="1347">
        <v>807218547.8299998</v>
      </c>
      <c r="J52" s="1341">
        <v>1157482.4020545974</v>
      </c>
      <c r="K52" s="1341">
        <v>25491922.853814654</v>
      </c>
      <c r="L52" s="1347">
        <v>781726624.9761852</v>
      </c>
      <c r="M52" s="1347"/>
      <c r="N52" s="1324"/>
    </row>
    <row r="53" spans="1:14">
      <c r="A53" s="1340"/>
      <c r="B53" s="1340">
        <v>7</v>
      </c>
      <c r="C53" s="1345">
        <v>35015.020000000004</v>
      </c>
      <c r="D53" s="1345">
        <v>69653.289999999994</v>
      </c>
      <c r="E53" s="1345"/>
      <c r="F53" s="1345"/>
      <c r="G53" s="1345">
        <v>104668.31</v>
      </c>
      <c r="H53" s="1346"/>
      <c r="I53" s="1347">
        <v>807253562.84999979</v>
      </c>
      <c r="J53" s="1341">
        <v>1159821.9185919538</v>
      </c>
      <c r="K53" s="1341">
        <v>26651744.772406608</v>
      </c>
      <c r="L53" s="1347">
        <v>780601818.07759321</v>
      </c>
      <c r="M53" s="1347"/>
      <c r="N53" s="1324"/>
    </row>
    <row r="54" spans="1:14">
      <c r="A54" s="1340"/>
      <c r="B54" s="1340">
        <v>8</v>
      </c>
      <c r="C54" s="1345">
        <v>267305.88</v>
      </c>
      <c r="D54" s="1345">
        <v>-1446.0600000000002</v>
      </c>
      <c r="E54" s="1345">
        <v>65066.259999999995</v>
      </c>
      <c r="F54" s="1345"/>
      <c r="G54" s="1345">
        <v>330926.08000000002</v>
      </c>
      <c r="H54" s="1346"/>
      <c r="I54" s="1347">
        <v>807520868.72999978</v>
      </c>
      <c r="J54" s="1341">
        <v>1160039.1031465514</v>
      </c>
      <c r="K54" s="1341">
        <v>27811783.875553161</v>
      </c>
      <c r="L54" s="1347">
        <v>779709084.85444665</v>
      </c>
      <c r="M54" s="1347"/>
      <c r="N54" s="1324"/>
    </row>
    <row r="55" spans="1:14">
      <c r="A55" s="1340"/>
      <c r="B55" s="1340">
        <v>9</v>
      </c>
      <c r="C55" s="1345">
        <v>126156.16000000002</v>
      </c>
      <c r="D55" s="1345"/>
      <c r="E55" s="1345"/>
      <c r="F55" s="1345"/>
      <c r="G55" s="1345">
        <v>126156.16000000002</v>
      </c>
      <c r="H55" s="1346"/>
      <c r="I55" s="1347">
        <v>807647024.88999975</v>
      </c>
      <c r="J55" s="1341">
        <v>1160321.7626580456</v>
      </c>
      <c r="K55" s="1341">
        <v>28972105.638211206</v>
      </c>
      <c r="L55" s="1347">
        <v>778674919.2517885</v>
      </c>
      <c r="M55" s="1347"/>
      <c r="N55" s="1324"/>
    </row>
    <row r="56" spans="1:14">
      <c r="A56" s="1340"/>
      <c r="B56" s="1340">
        <v>10</v>
      </c>
      <c r="C56" s="1345">
        <v>376118.1999999999</v>
      </c>
      <c r="D56" s="1345"/>
      <c r="E56" s="1345"/>
      <c r="F56" s="1345"/>
      <c r="G56" s="1345">
        <v>376118.1999999999</v>
      </c>
      <c r="H56" s="1346"/>
      <c r="I56" s="1347">
        <v>808023143.08999979</v>
      </c>
      <c r="J56" s="1341">
        <v>1160682.5919396547</v>
      </c>
      <c r="K56" s="1341">
        <v>30132788.23015086</v>
      </c>
      <c r="L56" s="1347">
        <v>777890354.85984898</v>
      </c>
      <c r="M56" s="1347"/>
      <c r="N56" s="1324"/>
    </row>
    <row r="57" spans="1:14">
      <c r="A57" s="1340"/>
      <c r="B57" s="1340">
        <v>11</v>
      </c>
      <c r="C57" s="1345">
        <v>23435318.120000001</v>
      </c>
      <c r="D57" s="1345"/>
      <c r="E57" s="1345">
        <v>13477.84</v>
      </c>
      <c r="F57" s="1345">
        <v>1393.22</v>
      </c>
      <c r="G57" s="1345">
        <v>23450189.18</v>
      </c>
      <c r="H57" s="1346"/>
      <c r="I57" s="1347">
        <v>831458461.2099998</v>
      </c>
      <c r="J57" s="1341">
        <v>1177788.5088362065</v>
      </c>
      <c r="K57" s="1341">
        <v>31310576.738987066</v>
      </c>
      <c r="L57" s="1347">
        <v>800147884.47101271</v>
      </c>
      <c r="M57" s="1347"/>
      <c r="N57" s="1324"/>
    </row>
    <row r="58" spans="1:14">
      <c r="A58" s="1340"/>
      <c r="B58" s="1340">
        <v>12</v>
      </c>
      <c r="C58" s="1345">
        <v>28383674.890000004</v>
      </c>
      <c r="D58" s="1345">
        <v>3196.4700000000003</v>
      </c>
      <c r="E58" s="1345">
        <v>18110.599999999999</v>
      </c>
      <c r="F58" s="1345"/>
      <c r="G58" s="1345">
        <v>28404981.960000005</v>
      </c>
      <c r="H58" s="1346"/>
      <c r="I58" s="1348">
        <v>859842136.09999979</v>
      </c>
      <c r="J58" s="1341">
        <v>1215014.7969181032</v>
      </c>
      <c r="K58" s="1341">
        <v>32525591.535905167</v>
      </c>
      <c r="L58" s="1347">
        <v>827316544.56409466</v>
      </c>
      <c r="M58" s="1349">
        <v>785864996.70524514</v>
      </c>
      <c r="N58" s="1324"/>
    </row>
    <row r="59" spans="1:14">
      <c r="A59" s="1340">
        <v>2013</v>
      </c>
      <c r="B59" s="1340">
        <v>1</v>
      </c>
      <c r="C59" s="1350">
        <v>-59287.020000000513</v>
      </c>
      <c r="D59" s="1350"/>
      <c r="E59" s="1350">
        <v>-66494.39</v>
      </c>
      <c r="F59" s="1350"/>
      <c r="G59" s="1350">
        <v>-125781.41000000051</v>
      </c>
      <c r="H59" s="1346"/>
      <c r="I59" s="1347">
        <v>859782849.0799998</v>
      </c>
      <c r="J59" s="1341">
        <v>1235362.7767097696</v>
      </c>
      <c r="K59" s="1341">
        <v>33760954.31261494</v>
      </c>
      <c r="L59" s="1347">
        <v>826021894.76738489</v>
      </c>
      <c r="M59" s="1341"/>
      <c r="N59" s="1324"/>
    </row>
    <row r="60" spans="1:14">
      <c r="A60" s="1340"/>
      <c r="B60" s="1340">
        <v>2</v>
      </c>
      <c r="C60" s="1350">
        <v>185502.72999999992</v>
      </c>
      <c r="D60" s="1350"/>
      <c r="E60" s="1350">
        <v>3043.3399999999983</v>
      </c>
      <c r="F60" s="1350"/>
      <c r="G60" s="1350">
        <v>188546.06999999992</v>
      </c>
      <c r="H60" s="1346"/>
      <c r="I60" s="1347">
        <v>859968351.80999982</v>
      </c>
      <c r="J60" s="1341">
        <v>1235453.4489152296</v>
      </c>
      <c r="K60" s="1341">
        <v>34996407.761530168</v>
      </c>
      <c r="L60" s="1347">
        <v>824971944.04846966</v>
      </c>
      <c r="M60" s="1341"/>
      <c r="N60" s="1324"/>
    </row>
    <row r="61" spans="1:14">
      <c r="A61" s="1340"/>
      <c r="B61" s="1340">
        <v>3</v>
      </c>
      <c r="C61" s="1350">
        <v>2339450.0599999996</v>
      </c>
      <c r="D61" s="1350"/>
      <c r="E61" s="1350">
        <v>94425.87</v>
      </c>
      <c r="F61" s="1350"/>
      <c r="G61" s="1350">
        <v>2433875.9299999997</v>
      </c>
      <c r="H61" s="1346"/>
      <c r="I61" s="1347">
        <v>862307801.86999977</v>
      </c>
      <c r="J61" s="1341">
        <v>1237267.351781609</v>
      </c>
      <c r="K61" s="1341">
        <v>36233675.113311775</v>
      </c>
      <c r="L61" s="1347">
        <v>826074126.756688</v>
      </c>
      <c r="M61" s="1341"/>
      <c r="N61" s="1324"/>
    </row>
    <row r="62" spans="1:14">
      <c r="A62" s="1340"/>
      <c r="B62" s="1340">
        <v>4</v>
      </c>
      <c r="C62" s="1350">
        <v>61120.800000000032</v>
      </c>
      <c r="D62" s="1350"/>
      <c r="E62" s="1350">
        <v>11340.34</v>
      </c>
      <c r="F62" s="1350"/>
      <c r="G62" s="1350">
        <v>72461.140000000029</v>
      </c>
      <c r="H62" s="1346"/>
      <c r="I62" s="1347">
        <v>862368922.66999972</v>
      </c>
      <c r="J62" s="1341">
        <v>1238991.899813218</v>
      </c>
      <c r="K62" s="1341">
        <v>37472667.013124995</v>
      </c>
      <c r="L62" s="1347">
        <v>824896255.65687478</v>
      </c>
      <c r="M62" s="1341"/>
      <c r="N62" s="1324"/>
    </row>
    <row r="63" spans="1:14">
      <c r="A63" s="1340"/>
      <c r="B63" s="1340">
        <v>5</v>
      </c>
      <c r="C63" s="1350">
        <v>347498048.94999999</v>
      </c>
      <c r="D63" s="1350"/>
      <c r="E63" s="1350">
        <v>43707.21</v>
      </c>
      <c r="F63" s="1350"/>
      <c r="G63" s="1350">
        <v>347541756.15999997</v>
      </c>
      <c r="H63" s="1346"/>
      <c r="I63" s="1347">
        <v>1209866971.6199996</v>
      </c>
      <c r="J63" s="1341">
        <v>1488675.2114152294</v>
      </c>
      <c r="K63" s="1341">
        <v>38961342.224540226</v>
      </c>
      <c r="L63" s="1347">
        <v>1170905629.3954594</v>
      </c>
      <c r="M63" s="1341"/>
      <c r="N63" s="1324"/>
    </row>
    <row r="64" spans="1:14">
      <c r="A64" s="1340"/>
      <c r="B64" s="1340">
        <v>6</v>
      </c>
      <c r="C64" s="1350">
        <v>6595151.2699999893</v>
      </c>
      <c r="D64" s="1350"/>
      <c r="E64" s="1350">
        <v>-21113.75</v>
      </c>
      <c r="F64" s="1350"/>
      <c r="G64" s="1350">
        <v>6574037.5199999893</v>
      </c>
      <c r="H64" s="1346"/>
      <c r="I64" s="1347">
        <v>1216462122.8899996</v>
      </c>
      <c r="J64" s="1341">
        <v>1743052.51042385</v>
      </c>
      <c r="K64" s="1341">
        <v>40704394.734964073</v>
      </c>
      <c r="L64" s="1347">
        <v>1175757728.1550355</v>
      </c>
      <c r="M64" s="1341"/>
      <c r="N64" s="1324"/>
    </row>
    <row r="65" spans="1:14">
      <c r="A65" s="1340"/>
      <c r="B65" s="1340">
        <v>7</v>
      </c>
      <c r="C65" s="1350">
        <v>786452.25999999652</v>
      </c>
      <c r="D65" s="1350"/>
      <c r="E65" s="1350">
        <v>41107.699999999997</v>
      </c>
      <c r="F65" s="1350"/>
      <c r="G65" s="1350">
        <v>827559.95999999647</v>
      </c>
      <c r="H65" s="1346"/>
      <c r="I65" s="1347">
        <v>1217248575.1499996</v>
      </c>
      <c r="J65" s="1341">
        <v>1748355.3865229881</v>
      </c>
      <c r="K65" s="1341">
        <v>42452750.121487059</v>
      </c>
      <c r="L65" s="1347">
        <v>1174795825.0285125</v>
      </c>
      <c r="M65" s="1341"/>
      <c r="N65" s="1324"/>
    </row>
    <row r="66" spans="1:14">
      <c r="A66" s="1340"/>
      <c r="B66" s="1340">
        <v>8</v>
      </c>
      <c r="C66" s="1350">
        <v>557256.60999999475</v>
      </c>
      <c r="D66" s="1350"/>
      <c r="E66" s="1350">
        <v>2423.2399999999998</v>
      </c>
      <c r="F66" s="1350"/>
      <c r="G66" s="1350">
        <v>559679.84999999474</v>
      </c>
      <c r="H66" s="1346"/>
      <c r="I66" s="1347">
        <v>1217805831.7599995</v>
      </c>
      <c r="J66" s="1341">
        <v>1749320.6946192523</v>
      </c>
      <c r="K66" s="1341">
        <v>44202070.816106312</v>
      </c>
      <c r="L66" s="1347">
        <v>1173603760.9438932</v>
      </c>
      <c r="M66" s="1341"/>
      <c r="N66" s="1324"/>
    </row>
    <row r="67" spans="1:14">
      <c r="A67" s="1340"/>
      <c r="B67" s="1340">
        <v>9</v>
      </c>
      <c r="C67" s="1350">
        <v>479725.25999998843</v>
      </c>
      <c r="D67" s="1350"/>
      <c r="E67" s="1350">
        <v>9768.93</v>
      </c>
      <c r="F67" s="1350"/>
      <c r="G67" s="1350">
        <v>489494.18999998842</v>
      </c>
      <c r="H67" s="1346"/>
      <c r="I67" s="1347">
        <v>1218285557.0199995</v>
      </c>
      <c r="J67" s="1341">
        <v>1750065.6528591947</v>
      </c>
      <c r="K67" s="1341">
        <v>45952136.468965508</v>
      </c>
      <c r="L67" s="1347">
        <v>1172333420.551034</v>
      </c>
      <c r="M67" s="1341"/>
      <c r="N67" s="1324"/>
    </row>
    <row r="68" spans="1:14">
      <c r="A68" s="1340"/>
      <c r="B68" s="1340">
        <v>10</v>
      </c>
      <c r="C68" s="1350">
        <v>338600.24999999983</v>
      </c>
      <c r="D68" s="1350"/>
      <c r="E68" s="1350">
        <v>102339.83</v>
      </c>
      <c r="F68" s="1350"/>
      <c r="G68" s="1350">
        <v>440940.07999999984</v>
      </c>
      <c r="H68" s="1346"/>
      <c r="I68" s="1347">
        <v>1218624157.2699995</v>
      </c>
      <c r="J68" s="1341">
        <v>1750653.5303807463</v>
      </c>
      <c r="K68" s="1341">
        <v>47702789.999346256</v>
      </c>
      <c r="L68" s="1347">
        <v>1170921367.2706532</v>
      </c>
      <c r="M68" s="1341"/>
      <c r="N68" s="1324"/>
    </row>
    <row r="69" spans="1:14">
      <c r="A69" s="1340"/>
      <c r="B69" s="1340">
        <v>11</v>
      </c>
      <c r="C69" s="1350">
        <v>754740.09999999974</v>
      </c>
      <c r="D69" s="1350"/>
      <c r="E69" s="1350">
        <v>88.22</v>
      </c>
      <c r="F69" s="1350"/>
      <c r="G69" s="1350">
        <v>754828.31999999972</v>
      </c>
      <c r="H69" s="1346"/>
      <c r="I69" s="1347">
        <v>1219378897.3699994</v>
      </c>
      <c r="J69" s="1341">
        <v>1751438.976034482</v>
      </c>
      <c r="K69" s="1341">
        <v>49454228.975380741</v>
      </c>
      <c r="L69" s="1347">
        <v>1169924668.3946187</v>
      </c>
      <c r="M69" s="1341"/>
      <c r="N69" s="1324"/>
    </row>
    <row r="70" spans="1:14">
      <c r="A70" s="1340"/>
      <c r="B70" s="1340">
        <v>12</v>
      </c>
      <c r="C70" s="1350">
        <v>3132231.4299999997</v>
      </c>
      <c r="D70" s="1350"/>
      <c r="E70" s="1350">
        <v>503.53000000000003</v>
      </c>
      <c r="F70" s="1350"/>
      <c r="G70" s="1350">
        <v>3132734.9599999995</v>
      </c>
      <c r="H70" s="1346"/>
      <c r="I70" s="1348">
        <v>1222511128.7999995</v>
      </c>
      <c r="J70" s="1341">
        <v>1754231.340639367</v>
      </c>
      <c r="K70" s="1341">
        <v>51208460.316020109</v>
      </c>
      <c r="L70" s="1347">
        <v>1171302668.4839795</v>
      </c>
      <c r="M70" s="1349">
        <v>1039140448.7705153</v>
      </c>
      <c r="N70" s="1324"/>
    </row>
    <row r="71" spans="1:14">
      <c r="A71" s="1351">
        <v>2014</v>
      </c>
      <c r="B71" s="1340">
        <v>1</v>
      </c>
      <c r="C71" s="1350">
        <v>639665.49999999965</v>
      </c>
      <c r="D71" s="1350">
        <v>182774.96000000002</v>
      </c>
      <c r="E71" s="1350">
        <v>767.07</v>
      </c>
      <c r="F71" s="1350"/>
      <c r="G71" s="1350">
        <v>823207.52999999968</v>
      </c>
      <c r="H71" s="1352"/>
      <c r="I71" s="1353">
        <v>1223150794.2999995</v>
      </c>
      <c r="J71" s="1354">
        <v>1756941.0367097694</v>
      </c>
      <c r="K71" s="1354">
        <v>52965401.352729879</v>
      </c>
      <c r="L71" s="1355">
        <v>1170185392.9472697</v>
      </c>
      <c r="M71" s="1354"/>
      <c r="N71" s="1324"/>
    </row>
    <row r="72" spans="1:14">
      <c r="A72" s="1351"/>
      <c r="B72" s="1340">
        <v>2</v>
      </c>
      <c r="C72" s="1350">
        <v>92456.37</v>
      </c>
      <c r="D72" s="1350"/>
      <c r="E72" s="1350">
        <v>40.46</v>
      </c>
      <c r="F72" s="1350"/>
      <c r="G72" s="1350">
        <v>92496.83</v>
      </c>
      <c r="H72" s="1352"/>
      <c r="I72" s="1353">
        <v>1223243250.6699994</v>
      </c>
      <c r="J72" s="1354">
        <v>1757466.9863290223</v>
      </c>
      <c r="K72" s="1354">
        <v>54722868.339058898</v>
      </c>
      <c r="L72" s="1355">
        <v>1168520382.3309405</v>
      </c>
      <c r="M72" s="1354"/>
      <c r="N72" s="1324"/>
    </row>
    <row r="73" spans="1:14">
      <c r="A73" s="1351"/>
      <c r="B73" s="1340">
        <v>3</v>
      </c>
      <c r="C73" s="1350">
        <v>257303.03000000009</v>
      </c>
      <c r="D73" s="1350"/>
      <c r="E73" s="1350">
        <v>128.33000000000001</v>
      </c>
      <c r="F73" s="1350"/>
      <c r="G73" s="1350">
        <v>257431.36000000007</v>
      </c>
      <c r="H73" s="1352"/>
      <c r="I73" s="1353">
        <v>1223500553.6999993</v>
      </c>
      <c r="J73" s="1354">
        <v>1757718.2502658037</v>
      </c>
      <c r="K73" s="1354">
        <v>56480586.589324705</v>
      </c>
      <c r="L73" s="1355">
        <v>1167019967.1106746</v>
      </c>
      <c r="M73" s="1354"/>
      <c r="N73" s="1324"/>
    </row>
    <row r="74" spans="1:14">
      <c r="A74" s="1351"/>
      <c r="B74" s="1340">
        <v>4</v>
      </c>
      <c r="C74" s="1350">
        <v>2947367.6799999992</v>
      </c>
      <c r="D74" s="1350"/>
      <c r="E74" s="1350">
        <v>440.53999999999996</v>
      </c>
      <c r="F74" s="1350"/>
      <c r="G74" s="1350">
        <v>2947808.2199999993</v>
      </c>
      <c r="H74" s="1352"/>
      <c r="I74" s="1353">
        <v>1226447921.3799994</v>
      </c>
      <c r="J74" s="1354">
        <v>1760020.4562356311</v>
      </c>
      <c r="K74" s="1354">
        <v>58240607.045560338</v>
      </c>
      <c r="L74" s="1355">
        <v>1168207314.334439</v>
      </c>
      <c r="M74" s="1354"/>
      <c r="N74" s="1324"/>
    </row>
    <row r="75" spans="1:14">
      <c r="A75" s="1351"/>
      <c r="B75" s="1340">
        <v>5</v>
      </c>
      <c r="C75" s="1350">
        <v>122035.54000000002</v>
      </c>
      <c r="D75" s="1350"/>
      <c r="E75" s="1350">
        <v>42.37</v>
      </c>
      <c r="F75" s="1350"/>
      <c r="G75" s="1350">
        <v>122077.91000000002</v>
      </c>
      <c r="H75" s="1352"/>
      <c r="I75" s="1353">
        <v>1226569956.9199994</v>
      </c>
      <c r="J75" s="1354">
        <v>1762225.487284482</v>
      </c>
      <c r="K75" s="1354">
        <v>60002832.532844819</v>
      </c>
      <c r="L75" s="1355">
        <v>1166567124.3871546</v>
      </c>
      <c r="M75" s="1354"/>
      <c r="N75" s="1324"/>
    </row>
    <row r="76" spans="1:14">
      <c r="A76" s="1351"/>
      <c r="B76" s="1340">
        <v>6</v>
      </c>
      <c r="C76" s="1350">
        <v>284853.58000000007</v>
      </c>
      <c r="D76" s="1350">
        <v>576.34</v>
      </c>
      <c r="E76" s="1350">
        <v>5.53</v>
      </c>
      <c r="F76" s="1350"/>
      <c r="G76" s="1350">
        <v>285435.45000000007</v>
      </c>
      <c r="H76" s="1352"/>
      <c r="I76" s="1353">
        <v>1226854810.4999993</v>
      </c>
      <c r="J76" s="1354">
        <v>1762517.7926867807</v>
      </c>
      <c r="K76" s="1354">
        <v>61765350.325531602</v>
      </c>
      <c r="L76" s="1355">
        <v>1165089460.1744676</v>
      </c>
      <c r="M76" s="1354"/>
      <c r="N76" s="1324"/>
    </row>
    <row r="77" spans="1:14">
      <c r="A77" s="1351"/>
      <c r="B77" s="1340">
        <v>7</v>
      </c>
      <c r="C77" s="1350">
        <v>92267.080000000016</v>
      </c>
      <c r="D77" s="1350"/>
      <c r="E77" s="1350">
        <v>147.02000000000001</v>
      </c>
      <c r="F77" s="1350"/>
      <c r="G77" s="1350">
        <v>92414.10000000002</v>
      </c>
      <c r="H77" s="1352"/>
      <c r="I77" s="1353">
        <v>1226947077.5799992</v>
      </c>
      <c r="J77" s="1354">
        <v>1762788.7127011484</v>
      </c>
      <c r="K77" s="1354">
        <v>63528139.038232751</v>
      </c>
      <c r="L77" s="1355">
        <v>1163418938.5417664</v>
      </c>
      <c r="M77" s="1354"/>
      <c r="N77" s="1324"/>
    </row>
    <row r="78" spans="1:14">
      <c r="A78" s="1351"/>
      <c r="B78" s="1340">
        <v>8</v>
      </c>
      <c r="C78" s="1350">
        <v>18638.840000000004</v>
      </c>
      <c r="D78" s="1350"/>
      <c r="E78" s="1350">
        <v>21.47</v>
      </c>
      <c r="F78" s="1350"/>
      <c r="G78" s="1350">
        <v>18660.310000000005</v>
      </c>
      <c r="H78" s="1352"/>
      <c r="I78" s="1353">
        <v>1226965716.4199991</v>
      </c>
      <c r="J78" s="1354">
        <v>1762868.3864942517</v>
      </c>
      <c r="K78" s="1354">
        <v>65291007.424727</v>
      </c>
      <c r="L78" s="1355">
        <v>1161674708.9952722</v>
      </c>
      <c r="M78" s="1354"/>
      <c r="N78" s="1324"/>
    </row>
    <row r="79" spans="1:14">
      <c r="A79" s="1351"/>
      <c r="B79" s="1340">
        <v>9</v>
      </c>
      <c r="C79" s="1350">
        <v>-115736.94000000003</v>
      </c>
      <c r="D79" s="1350"/>
      <c r="E79" s="1350">
        <v>553.99</v>
      </c>
      <c r="F79" s="1350"/>
      <c r="G79" s="1350">
        <v>-115182.95000000003</v>
      </c>
      <c r="H79" s="1352"/>
      <c r="I79" s="1353">
        <v>1226849979.4799991</v>
      </c>
      <c r="J79" s="1354">
        <v>1762798.6321120679</v>
      </c>
      <c r="K79" s="1354">
        <v>67053806.056839071</v>
      </c>
      <c r="L79" s="1355">
        <v>1159796173.4231601</v>
      </c>
      <c r="M79" s="1354"/>
      <c r="N79" s="1324"/>
    </row>
    <row r="80" spans="1:14">
      <c r="A80" s="1351"/>
      <c r="B80" s="1340">
        <v>10</v>
      </c>
      <c r="C80" s="1350">
        <v>423269.07999999996</v>
      </c>
      <c r="D80" s="1350"/>
      <c r="E80" s="1350">
        <v>6.15</v>
      </c>
      <c r="F80" s="1350"/>
      <c r="G80" s="1350">
        <v>423275.23</v>
      </c>
      <c r="H80" s="1352"/>
      <c r="I80" s="1353">
        <v>1227273248.559999</v>
      </c>
      <c r="J80" s="1354">
        <v>1763019.5603735617</v>
      </c>
      <c r="K80" s="1354">
        <v>68816825.617212638</v>
      </c>
      <c r="L80" s="1355">
        <v>1158456422.9427865</v>
      </c>
      <c r="M80" s="1354"/>
      <c r="N80" s="1324"/>
    </row>
    <row r="81" spans="1:14">
      <c r="A81" s="1351"/>
      <c r="B81" s="1340">
        <v>11</v>
      </c>
      <c r="C81" s="1350">
        <v>282683.90000000002</v>
      </c>
      <c r="D81" s="1350">
        <v>1813531.28</v>
      </c>
      <c r="E81" s="1350">
        <v>21.26</v>
      </c>
      <c r="F81" s="1350"/>
      <c r="G81" s="1350">
        <v>2096236.44</v>
      </c>
      <c r="H81" s="1352"/>
      <c r="I81" s="1353">
        <v>1227555932.4599991</v>
      </c>
      <c r="J81" s="1354">
        <v>1763526.7105028722</v>
      </c>
      <c r="K81" s="1354">
        <v>70580352.327715516</v>
      </c>
      <c r="L81" s="1355">
        <v>1156975580.1322837</v>
      </c>
      <c r="M81" s="1354"/>
      <c r="N81" s="1324"/>
    </row>
    <row r="82" spans="1:14">
      <c r="A82" s="1351"/>
      <c r="B82" s="1340">
        <v>12</v>
      </c>
      <c r="C82" s="1350">
        <v>288801.48</v>
      </c>
      <c r="D82" s="1350">
        <v>4331.97</v>
      </c>
      <c r="E82" s="1350">
        <v>76811.7</v>
      </c>
      <c r="F82" s="1350"/>
      <c r="G82" s="1350">
        <v>369945.14999999997</v>
      </c>
      <c r="H82" s="1352"/>
      <c r="I82" s="1356">
        <v>1227844733.9399991</v>
      </c>
      <c r="J82" s="1354">
        <v>1763937.2603448264</v>
      </c>
      <c r="K82" s="1354">
        <v>72344289.588060349</v>
      </c>
      <c r="L82" s="1355">
        <v>1155500444.3519387</v>
      </c>
      <c r="M82" s="1357">
        <v>1164054967.550472</v>
      </c>
      <c r="N82" s="1324"/>
    </row>
    <row r="83" spans="1:14">
      <c r="A83" s="1351">
        <v>2015</v>
      </c>
      <c r="B83" s="1340">
        <v>1</v>
      </c>
      <c r="C83" s="1350">
        <v>101592.22999999995</v>
      </c>
      <c r="D83" s="1350">
        <v>190842.5</v>
      </c>
      <c r="E83" s="1350">
        <v>2374.87</v>
      </c>
      <c r="F83" s="1350"/>
      <c r="G83" s="1350">
        <v>294809.59999999998</v>
      </c>
      <c r="H83" s="1352"/>
      <c r="I83" s="1353">
        <v>1227946326.1699991</v>
      </c>
      <c r="J83" s="1354">
        <v>1764217.7155962631</v>
      </c>
      <c r="K83" s="1354">
        <v>74108507.303656608</v>
      </c>
      <c r="L83" s="1355">
        <v>1153837818.8663425</v>
      </c>
      <c r="M83" s="1349"/>
      <c r="N83" s="1324"/>
    </row>
    <row r="84" spans="1:14">
      <c r="A84" s="1351"/>
      <c r="B84" s="1340">
        <v>2</v>
      </c>
      <c r="C84" s="1350">
        <v>262042.13999999998</v>
      </c>
      <c r="D84" s="1350">
        <v>28559.41</v>
      </c>
      <c r="E84" s="1350">
        <v>29091.260000000002</v>
      </c>
      <c r="F84" s="1350">
        <v>8182.88</v>
      </c>
      <c r="G84" s="1350">
        <v>327875.69</v>
      </c>
      <c r="H84" s="1352"/>
      <c r="I84" s="1353">
        <v>1228208368.3099992</v>
      </c>
      <c r="J84" s="1354">
        <v>1764478.9471839068</v>
      </c>
      <c r="K84" s="1354">
        <v>75872986.250840515</v>
      </c>
      <c r="L84" s="1355">
        <v>1152335382.0591588</v>
      </c>
      <c r="M84" s="1349"/>
      <c r="N84" s="1324"/>
    </row>
    <row r="85" spans="1:14">
      <c r="A85" s="1351"/>
      <c r="B85" s="1340">
        <v>3</v>
      </c>
      <c r="C85" s="1350">
        <v>56095.71</v>
      </c>
      <c r="D85" s="1350">
        <v>31274.29</v>
      </c>
      <c r="E85" s="1350">
        <v>4.24</v>
      </c>
      <c r="F85" s="1350"/>
      <c r="G85" s="1350">
        <v>87374.24</v>
      </c>
      <c r="H85" s="1352"/>
      <c r="I85" s="1353">
        <v>1228264464.0199993</v>
      </c>
      <c r="J85" s="1354">
        <v>1764707.4944899415</v>
      </c>
      <c r="K85" s="1354">
        <v>77637693.745330453</v>
      </c>
      <c r="L85" s="1355">
        <v>1150626770.2746687</v>
      </c>
      <c r="M85" s="1349"/>
      <c r="N85" s="1324"/>
    </row>
    <row r="86" spans="1:14">
      <c r="A86" s="1351"/>
      <c r="B86" s="1340">
        <v>4</v>
      </c>
      <c r="C86" s="1350">
        <v>32366</v>
      </c>
      <c r="D86" s="1350">
        <v>5086.76</v>
      </c>
      <c r="E86" s="1350">
        <v>-3.28</v>
      </c>
      <c r="F86" s="1350"/>
      <c r="G86" s="1350">
        <v>37449.480000000003</v>
      </c>
      <c r="H86" s="1352"/>
      <c r="I86" s="1353">
        <v>1228296830.0199993</v>
      </c>
      <c r="J86" s="1354">
        <v>1764771.0445689645</v>
      </c>
      <c r="K86" s="1354">
        <v>79402464.789899424</v>
      </c>
      <c r="L86" s="1355">
        <v>1148894365.2300999</v>
      </c>
      <c r="M86" s="1349"/>
      <c r="N86" s="1324"/>
    </row>
    <row r="87" spans="1:14">
      <c r="A87" s="1351"/>
      <c r="B87" s="1340">
        <v>5</v>
      </c>
      <c r="C87" s="1350">
        <v>331467191.00999999</v>
      </c>
      <c r="D87" s="1350">
        <v>5086.18</v>
      </c>
      <c r="E87" s="1350">
        <v>2201719.71</v>
      </c>
      <c r="F87" s="1350"/>
      <c r="G87" s="1350">
        <v>333673996.89999998</v>
      </c>
      <c r="H87" s="1352"/>
      <c r="I87" s="1353">
        <v>1559764021.0299993</v>
      </c>
      <c r="J87" s="1354">
        <v>2002917.2780531598</v>
      </c>
      <c r="K87" s="1354">
        <v>81405382.067952588</v>
      </c>
      <c r="L87" s="1355">
        <v>1478358638.9620466</v>
      </c>
      <c r="M87" s="1349"/>
      <c r="N87" s="1324"/>
    </row>
    <row r="88" spans="1:14">
      <c r="A88" s="1351"/>
      <c r="B88" s="1340">
        <v>6</v>
      </c>
      <c r="C88" s="1350">
        <v>1376123.2599999998</v>
      </c>
      <c r="D88" s="1350">
        <v>-30044.81</v>
      </c>
      <c r="E88" s="1350">
        <v>52642.070000000007</v>
      </c>
      <c r="F88" s="1350"/>
      <c r="G88" s="1350">
        <v>1398720.5199999998</v>
      </c>
      <c r="H88" s="1352"/>
      <c r="I88" s="1353">
        <v>1561140144.2899992</v>
      </c>
      <c r="J88" s="1354">
        <v>2242028.8543965509</v>
      </c>
      <c r="K88" s="1354">
        <v>83647410.92234914</v>
      </c>
      <c r="L88" s="1355">
        <v>1477492733.36765</v>
      </c>
      <c r="M88" s="1349"/>
      <c r="N88" s="1324"/>
    </row>
    <row r="89" spans="1:14">
      <c r="A89" s="1351"/>
      <c r="B89" s="1340">
        <v>7</v>
      </c>
      <c r="C89" s="1350">
        <v>879772.95000000007</v>
      </c>
      <c r="D89" s="1350">
        <v>5086.76</v>
      </c>
      <c r="E89" s="1350">
        <v>11627.740000000002</v>
      </c>
      <c r="F89" s="1350"/>
      <c r="G89" s="1350">
        <v>896487.45000000007</v>
      </c>
      <c r="H89" s="1352"/>
      <c r="I89" s="1353">
        <v>1562019917.2399993</v>
      </c>
      <c r="J89" s="1354">
        <v>2243649.4694899414</v>
      </c>
      <c r="K89" s="1354">
        <v>85891060.391839087</v>
      </c>
      <c r="L89" s="1355">
        <v>1476128856.8481603</v>
      </c>
      <c r="M89" s="1349"/>
      <c r="N89" s="1324"/>
    </row>
    <row r="90" spans="1:14">
      <c r="A90" s="1351"/>
      <c r="B90" s="1340">
        <v>8</v>
      </c>
      <c r="C90" s="1350">
        <v>823008.70000000007</v>
      </c>
      <c r="D90" s="1350">
        <v>-1.33</v>
      </c>
      <c r="E90" s="1350">
        <v>10505.689999999999</v>
      </c>
      <c r="F90" s="1350"/>
      <c r="G90" s="1350">
        <v>833513.06</v>
      </c>
      <c r="H90" s="1352"/>
      <c r="I90" s="1353">
        <v>1562842925.9399993</v>
      </c>
      <c r="J90" s="1354">
        <v>2244872.7321695392</v>
      </c>
      <c r="K90" s="1354">
        <v>88135933.124008626</v>
      </c>
      <c r="L90" s="1355">
        <v>1474706992.8159907</v>
      </c>
      <c r="M90" s="1349"/>
      <c r="N90" s="1324"/>
    </row>
    <row r="91" spans="1:14">
      <c r="A91" s="1351"/>
      <c r="B91" s="1340">
        <v>9</v>
      </c>
      <c r="C91" s="1350">
        <v>789098.23999996425</v>
      </c>
      <c r="D91" s="1350"/>
      <c r="E91" s="1350">
        <v>61992.14</v>
      </c>
      <c r="F91" s="1350"/>
      <c r="G91" s="1350">
        <v>851090.37999996427</v>
      </c>
      <c r="H91" s="1352"/>
      <c r="I91" s="1353">
        <v>1563632024.1799994</v>
      </c>
      <c r="J91" s="1354">
        <v>2246030.8549712636</v>
      </c>
      <c r="K91" s="1354">
        <v>90381963.978979886</v>
      </c>
      <c r="L91" s="1355">
        <v>1473250060.2010195</v>
      </c>
      <c r="M91" s="1349"/>
      <c r="N91" s="1324"/>
    </row>
    <row r="92" spans="1:14">
      <c r="A92" s="1351"/>
      <c r="B92" s="1340">
        <v>10</v>
      </c>
      <c r="C92" s="1350">
        <v>757496.57999999984</v>
      </c>
      <c r="D92" s="1350">
        <v>0.46</v>
      </c>
      <c r="E92" s="1350">
        <v>-855.06999999999994</v>
      </c>
      <c r="F92" s="1350"/>
      <c r="G92" s="1350">
        <v>756641.96999999986</v>
      </c>
      <c r="H92" s="1352"/>
      <c r="I92" s="1353">
        <v>1564389520.7599993</v>
      </c>
      <c r="J92" s="1354">
        <v>2247141.9144683899</v>
      </c>
      <c r="K92" s="1354">
        <v>92629105.893448278</v>
      </c>
      <c r="L92" s="1355">
        <v>1471760414.8665509</v>
      </c>
      <c r="M92" s="1349"/>
      <c r="N92" s="1324"/>
    </row>
    <row r="93" spans="1:14">
      <c r="A93" s="1351"/>
      <c r="B93" s="1340">
        <v>11</v>
      </c>
      <c r="C93" s="1350">
        <v>159196.459999999</v>
      </c>
      <c r="D93" s="1350"/>
      <c r="E93" s="1350">
        <v>33407.71</v>
      </c>
      <c r="F93" s="1350"/>
      <c r="G93" s="1350">
        <v>192604.16999999899</v>
      </c>
      <c r="H93" s="1352"/>
      <c r="I93" s="1353">
        <v>1564548717.2199993</v>
      </c>
      <c r="J93" s="1354">
        <v>2247800.4583189646</v>
      </c>
      <c r="K93" s="1354">
        <v>94876906.351767242</v>
      </c>
      <c r="L93" s="1355">
        <v>1469671810.868232</v>
      </c>
      <c r="M93" s="1349"/>
      <c r="N93" s="1324"/>
    </row>
    <row r="94" spans="1:14">
      <c r="A94" s="1351"/>
      <c r="B94" s="1340">
        <v>12</v>
      </c>
      <c r="C94" s="1350">
        <v>2183127.1100000003</v>
      </c>
      <c r="D94" s="1350"/>
      <c r="E94" s="1350">
        <v>522.9</v>
      </c>
      <c r="F94" s="1350"/>
      <c r="G94" s="1350">
        <v>2183650.0100000002</v>
      </c>
      <c r="H94" s="1352"/>
      <c r="I94" s="1356">
        <v>1566731844.3299992</v>
      </c>
      <c r="J94" s="1354">
        <v>2249483.1620330452</v>
      </c>
      <c r="K94" s="1354">
        <v>97126389.513800293</v>
      </c>
      <c r="L94" s="1355">
        <v>1469605454.8161988</v>
      </c>
      <c r="M94" s="1357">
        <v>1350166903.3483121</v>
      </c>
      <c r="N94" s="1324"/>
    </row>
    <row r="95" spans="1:14">
      <c r="A95" s="1351">
        <v>2016</v>
      </c>
      <c r="B95" s="1340">
        <v>1</v>
      </c>
      <c r="C95" s="1350">
        <v>-1183636.0400000003</v>
      </c>
      <c r="D95" s="1350">
        <v>0</v>
      </c>
      <c r="E95" s="1350">
        <v>1308397.97</v>
      </c>
      <c r="F95" s="1350">
        <v>0</v>
      </c>
      <c r="G95" s="1350">
        <v>124761.9299999997</v>
      </c>
      <c r="H95" s="1352"/>
      <c r="I95" s="1358">
        <v>1565548208.2899992</v>
      </c>
      <c r="J95" s="1341">
        <v>2250201.1872270103</v>
      </c>
      <c r="K95" s="1341">
        <v>99376590.701027304</v>
      </c>
      <c r="L95" s="1347">
        <v>1466171617.5889719</v>
      </c>
      <c r="M95" s="1352"/>
      <c r="N95" s="1324"/>
    </row>
    <row r="96" spans="1:14">
      <c r="A96" s="1352"/>
      <c r="B96" s="1340">
        <v>2</v>
      </c>
      <c r="C96" s="1350">
        <v>970859.33000000007</v>
      </c>
      <c r="D96" s="1350">
        <v>0</v>
      </c>
      <c r="E96" s="1350">
        <v>-827973.83</v>
      </c>
      <c r="F96" s="1350">
        <v>0</v>
      </c>
      <c r="G96" s="1350">
        <v>142885.50000000012</v>
      </c>
      <c r="H96" s="1352"/>
      <c r="I96" s="1358">
        <v>1566519067.6199992</v>
      </c>
      <c r="J96" s="1341">
        <v>2250048.3303951137</v>
      </c>
      <c r="K96" s="1341">
        <v>101626639.03142242</v>
      </c>
      <c r="L96" s="1347">
        <v>1464892428.5885768</v>
      </c>
      <c r="M96" s="1352"/>
      <c r="N96" s="1324"/>
    </row>
    <row r="97" spans="1:14">
      <c r="A97" s="1352"/>
      <c r="B97" s="1340">
        <v>3</v>
      </c>
      <c r="C97" s="1350">
        <v>10349995.800000001</v>
      </c>
      <c r="D97" s="1350">
        <v>0</v>
      </c>
      <c r="E97" s="1350">
        <v>5258.78</v>
      </c>
      <c r="F97" s="1350">
        <v>0</v>
      </c>
      <c r="G97" s="1350">
        <v>10355254.58</v>
      </c>
      <c r="H97" s="1352"/>
      <c r="I97" s="1358">
        <v>1576869063.4199991</v>
      </c>
      <c r="J97" s="1341">
        <v>2258181.1286206883</v>
      </c>
      <c r="K97" s="1341">
        <v>103884820.16004311</v>
      </c>
      <c r="L97" s="1347">
        <v>1472984243.2599561</v>
      </c>
      <c r="M97" s="1352"/>
      <c r="N97" s="1324"/>
    </row>
    <row r="98" spans="1:14">
      <c r="A98" s="1352"/>
      <c r="B98" s="1340">
        <v>4</v>
      </c>
      <c r="C98" s="1350">
        <v>-1132812.6899999995</v>
      </c>
      <c r="D98" s="1350">
        <v>0</v>
      </c>
      <c r="E98" s="1350">
        <v>683.17000000000007</v>
      </c>
      <c r="F98" s="1350">
        <v>0</v>
      </c>
      <c r="G98" s="1350">
        <v>-1132129.5199999996</v>
      </c>
      <c r="H98" s="1352"/>
      <c r="I98" s="1358">
        <v>1575736250.7299991</v>
      </c>
      <c r="J98" s="1341">
        <v>2264802.6682112054</v>
      </c>
      <c r="K98" s="1341">
        <v>106149622.82825431</v>
      </c>
      <c r="L98" s="1347">
        <v>1469586627.9017448</v>
      </c>
      <c r="M98" s="1352"/>
      <c r="N98" s="1324"/>
    </row>
    <row r="99" spans="1:14">
      <c r="A99" s="1352"/>
      <c r="B99" s="1340">
        <v>5</v>
      </c>
      <c r="C99" s="1350">
        <v>-66570.559999999998</v>
      </c>
      <c r="D99" s="1350">
        <v>0</v>
      </c>
      <c r="E99" s="1350">
        <v>18691.89</v>
      </c>
      <c r="F99" s="1350">
        <v>0</v>
      </c>
      <c r="G99" s="1350">
        <v>-47878.67</v>
      </c>
      <c r="H99" s="1352"/>
      <c r="I99" s="1358">
        <v>1575669680.1699991</v>
      </c>
      <c r="J99" s="1341">
        <v>2263941.0423132167</v>
      </c>
      <c r="K99" s="1341">
        <v>108413563.87056753</v>
      </c>
      <c r="L99" s="1347">
        <v>1467256116.2994316</v>
      </c>
      <c r="M99" s="1352"/>
      <c r="N99" s="1324"/>
    </row>
    <row r="100" spans="1:14">
      <c r="A100" s="1352"/>
      <c r="B100" s="1340">
        <v>6</v>
      </c>
      <c r="C100" s="1350">
        <v>223262.02999999997</v>
      </c>
      <c r="D100" s="1350">
        <v>0</v>
      </c>
      <c r="E100" s="1350">
        <v>791.75</v>
      </c>
      <c r="F100" s="1350">
        <v>0</v>
      </c>
      <c r="G100" s="1350">
        <v>224053.77999999997</v>
      </c>
      <c r="H100" s="1352"/>
      <c r="I100" s="1358">
        <v>1575892942.1999991</v>
      </c>
      <c r="J100" s="1341">
        <v>2264053.6080244239</v>
      </c>
      <c r="K100" s="1341">
        <v>110677617.47859195</v>
      </c>
      <c r="L100" s="1347">
        <v>1465215324.7214072</v>
      </c>
      <c r="M100" s="1352"/>
      <c r="N100" s="1324"/>
    </row>
    <row r="101" spans="1:14">
      <c r="A101" s="1352"/>
      <c r="B101" s="1340">
        <v>7</v>
      </c>
      <c r="C101" s="1350">
        <v>44732.240000000005</v>
      </c>
      <c r="D101" s="1350">
        <v>0</v>
      </c>
      <c r="E101" s="1350">
        <v>331.99</v>
      </c>
      <c r="F101" s="1350">
        <v>0</v>
      </c>
      <c r="G101" s="1350">
        <v>45064.23</v>
      </c>
      <c r="H101" s="1352"/>
      <c r="I101" s="1358">
        <v>1575937674.4399991</v>
      </c>
      <c r="J101" s="1341">
        <v>2264246.1326436768</v>
      </c>
      <c r="K101" s="1341">
        <v>112941863.61123562</v>
      </c>
      <c r="L101" s="1347">
        <v>1462995810.8287635</v>
      </c>
      <c r="M101" s="1352"/>
      <c r="N101" s="1324"/>
    </row>
    <row r="102" spans="1:14">
      <c r="A102" s="1352"/>
      <c r="B102" s="1340">
        <v>8</v>
      </c>
      <c r="C102" s="1350">
        <v>-18202.430000000029</v>
      </c>
      <c r="D102" s="1350">
        <v>0</v>
      </c>
      <c r="E102" s="1350">
        <v>939.08</v>
      </c>
      <c r="F102" s="1350">
        <v>0</v>
      </c>
      <c r="G102" s="1350">
        <v>-17263.350000000028</v>
      </c>
      <c r="H102" s="1352"/>
      <c r="I102" s="1358">
        <v>1575919472.009999</v>
      </c>
      <c r="J102" s="1341">
        <v>2264265.1914152284</v>
      </c>
      <c r="K102" s="1341">
        <v>115206128.80265085</v>
      </c>
      <c r="L102" s="1347">
        <v>1460713343.2073481</v>
      </c>
      <c r="M102" s="1352"/>
      <c r="N102" s="1324"/>
    </row>
    <row r="103" spans="1:14">
      <c r="A103" s="1352"/>
      <c r="B103" s="1340">
        <v>9</v>
      </c>
      <c r="C103" s="1350">
        <v>40725.879999999997</v>
      </c>
      <c r="D103" s="1350">
        <v>0</v>
      </c>
      <c r="E103" s="1350">
        <v>1203.52</v>
      </c>
      <c r="F103" s="1350">
        <v>0</v>
      </c>
      <c r="G103" s="1350">
        <v>41929.4</v>
      </c>
      <c r="H103" s="1352"/>
      <c r="I103" s="1358">
        <v>1575960197.8899992</v>
      </c>
      <c r="J103" s="1341">
        <v>2264281.3720545964</v>
      </c>
      <c r="K103" s="1341">
        <v>117470410.17470545</v>
      </c>
      <c r="L103" s="1347">
        <v>1458489787.7152936</v>
      </c>
      <c r="M103" s="1352"/>
      <c r="N103" s="1324"/>
    </row>
    <row r="104" spans="1:14">
      <c r="A104" s="1352"/>
      <c r="B104" s="1340">
        <v>10</v>
      </c>
      <c r="C104" s="1350">
        <v>-37384.25999999998</v>
      </c>
      <c r="D104" s="1350">
        <v>0</v>
      </c>
      <c r="E104" s="1350">
        <v>89.85</v>
      </c>
      <c r="F104" s="1350">
        <v>0</v>
      </c>
      <c r="G104" s="1350">
        <v>-37294.409999999982</v>
      </c>
      <c r="H104" s="1352"/>
      <c r="I104" s="1358">
        <v>1575922813.6299992</v>
      </c>
      <c r="J104" s="1341">
        <v>2264283.772643677</v>
      </c>
      <c r="K104" s="1341">
        <v>119734693.94734912</v>
      </c>
      <c r="L104" s="1347">
        <v>1456188119.6826501</v>
      </c>
      <c r="M104" s="1352"/>
      <c r="N104" s="1324"/>
    </row>
    <row r="105" spans="1:14">
      <c r="A105" s="1352"/>
      <c r="B105" s="1340">
        <v>11</v>
      </c>
      <c r="C105" s="1350">
        <v>30780.99</v>
      </c>
      <c r="D105" s="1350">
        <v>0</v>
      </c>
      <c r="E105" s="1350">
        <v>291.12</v>
      </c>
      <c r="F105" s="1350">
        <v>0</v>
      </c>
      <c r="G105" s="1350">
        <v>31072.10999999999</v>
      </c>
      <c r="H105" s="1352"/>
      <c r="I105" s="1358">
        <v>1575953594.6199992</v>
      </c>
      <c r="J105" s="1341">
        <v>2264279.0289152288</v>
      </c>
      <c r="K105" s="1341">
        <v>121998972.97626434</v>
      </c>
      <c r="L105" s="1347">
        <v>1453954621.6437349</v>
      </c>
      <c r="M105" s="1352"/>
      <c r="N105" s="1324"/>
    </row>
    <row r="106" spans="1:14">
      <c r="A106" s="1352"/>
      <c r="B106" s="1340">
        <v>12</v>
      </c>
      <c r="C106" s="1350">
        <v>24419.43</v>
      </c>
      <c r="D106" s="1350">
        <v>0</v>
      </c>
      <c r="E106" s="1350">
        <v>168.73999999999998</v>
      </c>
      <c r="F106" s="1350">
        <v>0</v>
      </c>
      <c r="G106" s="1350">
        <v>24588.17</v>
      </c>
      <c r="H106" s="1352"/>
      <c r="I106" s="1359">
        <v>1575978014.0499992</v>
      </c>
      <c r="J106" s="1341">
        <v>2264318.6843893668</v>
      </c>
      <c r="K106" s="1341">
        <v>124263291.66065371</v>
      </c>
      <c r="L106" s="1347">
        <v>1451714722.3893456</v>
      </c>
      <c r="M106" s="1349">
        <v>1463059093.741802</v>
      </c>
      <c r="N106" s="1324"/>
    </row>
    <row r="107" spans="1:14">
      <c r="A107" s="1351">
        <v>2017</v>
      </c>
      <c r="B107" s="1340">
        <v>1</v>
      </c>
      <c r="C107" s="1350">
        <v>3502.08</v>
      </c>
      <c r="D107" s="1350">
        <v>0</v>
      </c>
      <c r="E107" s="1350">
        <v>64.259999999999991</v>
      </c>
      <c r="F107" s="1350">
        <v>0</v>
      </c>
      <c r="G107" s="1350">
        <v>3566.34</v>
      </c>
      <c r="H107" s="1352"/>
      <c r="I107" s="1358">
        <v>1575981516.1299992</v>
      </c>
      <c r="J107" s="1341">
        <v>2264338.7429454015</v>
      </c>
      <c r="K107" s="1341">
        <v>126527630.40359911</v>
      </c>
      <c r="L107" s="1347">
        <v>1449453885.7264001</v>
      </c>
      <c r="M107" s="1352"/>
      <c r="N107" s="1324"/>
    </row>
    <row r="108" spans="1:14">
      <c r="A108" s="1352"/>
      <c r="B108" s="1340">
        <v>2</v>
      </c>
      <c r="C108" s="1350">
        <v>15540.720000000001</v>
      </c>
      <c r="D108" s="1350">
        <v>0</v>
      </c>
      <c r="E108" s="1350">
        <v>411.22</v>
      </c>
      <c r="F108" s="1350">
        <v>0</v>
      </c>
      <c r="G108" s="1350">
        <v>15951.94</v>
      </c>
      <c r="H108" s="1352"/>
      <c r="I108" s="1358">
        <v>1575997056.8499992</v>
      </c>
      <c r="J108" s="1341">
        <v>2264352.4231178151</v>
      </c>
      <c r="K108" s="1341">
        <v>128791982.82671693</v>
      </c>
      <c r="L108" s="1347">
        <v>1447205074.0232823</v>
      </c>
      <c r="M108" s="1352"/>
      <c r="N108" s="1324"/>
    </row>
    <row r="109" spans="1:14">
      <c r="A109" s="1352"/>
      <c r="B109" s="1340">
        <v>3</v>
      </c>
      <c r="C109" s="1350">
        <v>6783.6200000000008</v>
      </c>
      <c r="D109" s="1350">
        <v>0</v>
      </c>
      <c r="E109" s="1350">
        <v>516.38</v>
      </c>
      <c r="F109" s="1350">
        <v>0</v>
      </c>
      <c r="G109" s="1350">
        <v>7300.0000000000009</v>
      </c>
      <c r="H109" s="1352"/>
      <c r="I109" s="1358">
        <v>1576003840.4699991</v>
      </c>
      <c r="J109" s="1341">
        <v>2264368.4607183896</v>
      </c>
      <c r="K109" s="1341">
        <v>131056351.28743532</v>
      </c>
      <c r="L109" s="1347">
        <v>1444947489.1825638</v>
      </c>
      <c r="M109" s="1352"/>
      <c r="N109" s="1324"/>
    </row>
    <row r="110" spans="1:14">
      <c r="A110" s="1352"/>
      <c r="B110" s="1340">
        <v>4</v>
      </c>
      <c r="C110" s="1350">
        <v>6293.1500000000015</v>
      </c>
      <c r="D110" s="1350">
        <v>0</v>
      </c>
      <c r="E110" s="1350">
        <v>280.15999999999997</v>
      </c>
      <c r="F110" s="1350">
        <v>0</v>
      </c>
      <c r="G110" s="1350">
        <v>6573.3100000000013</v>
      </c>
      <c r="H110" s="1352"/>
      <c r="I110" s="1358">
        <v>1576010133.6199992</v>
      </c>
      <c r="J110" s="1341">
        <v>2264377.8549497114</v>
      </c>
      <c r="K110" s="1341">
        <v>133320729.14238504</v>
      </c>
      <c r="L110" s="1347">
        <v>1442689404.4776142</v>
      </c>
      <c r="M110" s="1352"/>
      <c r="N110" s="1324"/>
    </row>
    <row r="111" spans="1:14">
      <c r="A111" s="1352"/>
      <c r="B111" s="1340">
        <v>5</v>
      </c>
      <c r="C111" s="1350">
        <v>191.73999999999995</v>
      </c>
      <c r="D111" s="1350">
        <v>0</v>
      </c>
      <c r="E111" s="1350">
        <v>138.81</v>
      </c>
      <c r="F111" s="1350">
        <v>0</v>
      </c>
      <c r="G111" s="1350">
        <v>330.54999999999995</v>
      </c>
      <c r="H111" s="1352"/>
      <c r="I111" s="1358">
        <v>1576010325.3599992</v>
      </c>
      <c r="J111" s="1341">
        <v>2264382.5136350566</v>
      </c>
      <c r="K111" s="1341">
        <v>135585111.6560201</v>
      </c>
      <c r="L111" s="1347">
        <v>1440425213.703979</v>
      </c>
      <c r="M111" s="1352"/>
      <c r="N111" s="1324"/>
    </row>
    <row r="112" spans="1:14">
      <c r="A112" s="1352"/>
      <c r="B112" s="1340">
        <v>6</v>
      </c>
      <c r="C112" s="1350">
        <v>3386921.3299999991</v>
      </c>
      <c r="D112" s="1350">
        <v>0</v>
      </c>
      <c r="E112" s="1350">
        <v>-957.81</v>
      </c>
      <c r="F112" s="1350">
        <v>-295.44</v>
      </c>
      <c r="G112" s="1350">
        <v>3385668.0799999991</v>
      </c>
      <c r="H112" s="1352"/>
      <c r="I112" s="1358">
        <v>1579397246.6899991</v>
      </c>
      <c r="J112" s="1341">
        <v>2266815.7845186768</v>
      </c>
      <c r="K112" s="1341">
        <v>137851927.44053879</v>
      </c>
      <c r="L112" s="1347">
        <v>1441545319.2494602</v>
      </c>
      <c r="M112" s="1352"/>
      <c r="N112" s="1324"/>
    </row>
    <row r="113" spans="1:14">
      <c r="A113" s="1352"/>
      <c r="B113" s="1340">
        <v>7</v>
      </c>
      <c r="C113" s="1350">
        <v>30851.050000000007</v>
      </c>
      <c r="D113" s="1350">
        <v>0</v>
      </c>
      <c r="E113" s="1350">
        <v>21.260000000000009</v>
      </c>
      <c r="F113" s="1350">
        <v>-11.22</v>
      </c>
      <c r="G113" s="1350">
        <v>30861.090000000004</v>
      </c>
      <c r="H113" s="1352"/>
      <c r="I113" s="1358">
        <v>1579428097.7399991</v>
      </c>
      <c r="J113" s="1341">
        <v>2269271.0807686765</v>
      </c>
      <c r="K113" s="1341">
        <v>140121198.52130747</v>
      </c>
      <c r="L113" s="1347">
        <v>1439306899.2186916</v>
      </c>
      <c r="M113" s="1352"/>
      <c r="N113" s="1324"/>
    </row>
    <row r="114" spans="1:14">
      <c r="A114" s="1352"/>
      <c r="B114" s="1340">
        <v>8</v>
      </c>
      <c r="C114" s="1350">
        <v>25248.27</v>
      </c>
      <c r="D114" s="1350">
        <v>0</v>
      </c>
      <c r="E114" s="1350">
        <v>79.81</v>
      </c>
      <c r="F114" s="1350">
        <v>0</v>
      </c>
      <c r="G114" s="1350">
        <v>25328.080000000002</v>
      </c>
      <c r="H114" s="1352"/>
      <c r="I114" s="1358">
        <v>1579453346.009999</v>
      </c>
      <c r="J114" s="1341">
        <v>2269311.382004309</v>
      </c>
      <c r="K114" s="1341">
        <v>142390509.90331179</v>
      </c>
      <c r="L114" s="1347">
        <v>1437062836.1066873</v>
      </c>
      <c r="M114" s="1352"/>
      <c r="N114" s="1324"/>
    </row>
    <row r="115" spans="1:14">
      <c r="A115" s="1352"/>
      <c r="B115" s="1340">
        <v>9</v>
      </c>
      <c r="C115" s="1350">
        <v>1400.13</v>
      </c>
      <c r="D115" s="1350">
        <v>0</v>
      </c>
      <c r="E115" s="1350">
        <v>59.620000000000005</v>
      </c>
      <c r="F115" s="1350">
        <v>0</v>
      </c>
      <c r="G115" s="1350">
        <v>1459.75</v>
      </c>
      <c r="H115" s="1352"/>
      <c r="I115" s="1358">
        <v>1579454746.1399992</v>
      </c>
      <c r="J115" s="1341">
        <v>2269330.5259698262</v>
      </c>
      <c r="K115" s="1341">
        <v>144659840.42928162</v>
      </c>
      <c r="L115" s="1347">
        <v>1434794905.7107174</v>
      </c>
      <c r="M115" s="1352"/>
      <c r="N115" s="1324"/>
    </row>
    <row r="116" spans="1:14">
      <c r="A116" s="1352"/>
      <c r="B116" s="1340">
        <v>10</v>
      </c>
      <c r="C116" s="1350">
        <v>13168.619999999999</v>
      </c>
      <c r="D116" s="1350">
        <v>0</v>
      </c>
      <c r="E116" s="1350">
        <v>66.319999999999993</v>
      </c>
      <c r="F116" s="1350">
        <v>0</v>
      </c>
      <c r="G116" s="1350">
        <v>13234.939999999999</v>
      </c>
      <c r="H116" s="1352"/>
      <c r="I116" s="1358">
        <v>1579467914.759999</v>
      </c>
      <c r="J116" s="1341">
        <v>2269340.9920258611</v>
      </c>
      <c r="K116" s="1341">
        <v>146929181.42130747</v>
      </c>
      <c r="L116" s="1347">
        <v>1432538733.3386915</v>
      </c>
      <c r="M116" s="1352"/>
      <c r="N116" s="1324"/>
    </row>
    <row r="117" spans="1:14">
      <c r="A117" s="1352"/>
      <c r="B117" s="1340">
        <v>11</v>
      </c>
      <c r="C117" s="1350">
        <v>-167968.38</v>
      </c>
      <c r="D117" s="1350">
        <v>0</v>
      </c>
      <c r="E117" s="1350">
        <v>80.710000000000008</v>
      </c>
      <c r="F117" s="1350">
        <v>0</v>
      </c>
      <c r="G117" s="1350">
        <v>-167887.67</v>
      </c>
      <c r="H117" s="1352"/>
      <c r="I117" s="1358">
        <v>1579299946.3799989</v>
      </c>
      <c r="J117" s="1341">
        <v>2269229.7853017226</v>
      </c>
      <c r="K117" s="1341">
        <v>149198411.20660919</v>
      </c>
      <c r="L117" s="1347">
        <v>1430101535.1733897</v>
      </c>
      <c r="M117" s="1352"/>
      <c r="N117" s="1324"/>
    </row>
    <row r="118" spans="1:14">
      <c r="A118" s="1352"/>
      <c r="B118" s="1340">
        <v>12</v>
      </c>
      <c r="C118" s="1350">
        <v>-874152.39999999991</v>
      </c>
      <c r="D118" s="1350">
        <v>0</v>
      </c>
      <c r="E118" s="1350">
        <v>0</v>
      </c>
      <c r="F118" s="1350">
        <v>0</v>
      </c>
      <c r="G118" s="1350">
        <v>-874152.39999999991</v>
      </c>
      <c r="H118" s="1352"/>
      <c r="I118" s="1359">
        <v>1578425793.9799988</v>
      </c>
      <c r="J118" s="1341">
        <v>2268481.1353160902</v>
      </c>
      <c r="K118" s="1341">
        <v>151466892.34192529</v>
      </c>
      <c r="L118" s="1347">
        <v>1426958901.6380734</v>
      </c>
      <c r="M118" s="1349">
        <v>1439903455.379915</v>
      </c>
      <c r="N118" s="1324"/>
    </row>
    <row r="119" spans="1:14">
      <c r="A119" s="1351">
        <v>2018</v>
      </c>
      <c r="B119" s="1340">
        <v>1</v>
      </c>
      <c r="C119" s="1350">
        <v>1523.79</v>
      </c>
      <c r="D119" s="1350">
        <v>0</v>
      </c>
      <c r="E119" s="1350">
        <v>68.699999999999989</v>
      </c>
      <c r="F119" s="1350">
        <v>0</v>
      </c>
      <c r="G119" s="1350">
        <v>1592.49</v>
      </c>
      <c r="H119" s="1352"/>
      <c r="I119" s="1358">
        <v>1578427317.7699988</v>
      </c>
      <c r="J119" s="1341">
        <v>2267854.2469468373</v>
      </c>
      <c r="K119" s="1341">
        <v>153734746.58887213</v>
      </c>
      <c r="L119" s="1347">
        <v>1424692571.1811266</v>
      </c>
      <c r="M119" s="1352"/>
      <c r="N119" s="1324"/>
    </row>
    <row r="120" spans="1:14">
      <c r="A120" s="1352"/>
      <c r="B120" s="1340">
        <v>2</v>
      </c>
      <c r="C120" s="1350">
        <v>1104.2699999999998</v>
      </c>
      <c r="D120" s="1350">
        <v>0</v>
      </c>
      <c r="E120" s="1350">
        <v>38.160000000000004</v>
      </c>
      <c r="F120" s="1350">
        <v>0</v>
      </c>
      <c r="G120" s="1350">
        <v>1142.4299999999998</v>
      </c>
      <c r="H120" s="1352"/>
      <c r="I120" s="1358">
        <v>1578428422.0399988</v>
      </c>
      <c r="J120" s="1341">
        <v>2267856.1349209752</v>
      </c>
      <c r="K120" s="1341">
        <v>156002602.72379312</v>
      </c>
      <c r="L120" s="1347">
        <v>1422425819.3162057</v>
      </c>
      <c r="M120" s="1352"/>
      <c r="N120" s="1324"/>
    </row>
    <row r="121" spans="1:14">
      <c r="A121" s="1352"/>
      <c r="B121" s="1340">
        <v>3</v>
      </c>
      <c r="C121" s="1350">
        <v>227.16</v>
      </c>
      <c r="D121" s="1350">
        <v>0</v>
      </c>
      <c r="E121" s="1350">
        <v>30.53</v>
      </c>
      <c r="F121" s="1350">
        <v>0</v>
      </c>
      <c r="G121" s="1350">
        <v>257.69</v>
      </c>
      <c r="H121" s="1352"/>
      <c r="I121" s="1358">
        <v>1578428649.1999989</v>
      </c>
      <c r="J121" s="1341">
        <v>2267857.0914080441</v>
      </c>
      <c r="K121" s="1341">
        <v>158270459.81520116</v>
      </c>
      <c r="L121" s="1347">
        <v>1420158189.3847976</v>
      </c>
      <c r="M121" s="1352"/>
      <c r="N121" s="1324"/>
    </row>
    <row r="122" spans="1:14">
      <c r="A122" s="1352"/>
      <c r="B122" s="1340">
        <v>4</v>
      </c>
      <c r="C122" s="1350">
        <v>662.51999999995337</v>
      </c>
      <c r="D122" s="1350">
        <v>0</v>
      </c>
      <c r="E122" s="1350">
        <v>30.53</v>
      </c>
      <c r="F122" s="1350">
        <v>0</v>
      </c>
      <c r="G122" s="1350">
        <v>693.04999999995334</v>
      </c>
      <c r="H122" s="1352"/>
      <c r="I122" s="1358">
        <v>1578429311.7199988</v>
      </c>
      <c r="J122" s="1341">
        <v>2267857.7305459753</v>
      </c>
      <c r="K122" s="1341">
        <v>160538317.54574713</v>
      </c>
      <c r="L122" s="1347">
        <v>1417890994.1742518</v>
      </c>
      <c r="M122" s="1352"/>
      <c r="N122" s="1324"/>
    </row>
    <row r="123" spans="1:14">
      <c r="A123" s="1352"/>
      <c r="B123" s="1340">
        <v>5</v>
      </c>
      <c r="C123" s="1350">
        <v>-172.57</v>
      </c>
      <c r="D123" s="1350">
        <v>0</v>
      </c>
      <c r="E123" s="1350">
        <v>-99.25</v>
      </c>
      <c r="F123" s="1350">
        <v>0</v>
      </c>
      <c r="G123" s="1350">
        <v>-271.82</v>
      </c>
      <c r="H123" s="1352"/>
      <c r="I123" s="1358">
        <v>1578429139.1499989</v>
      </c>
      <c r="J123" s="1341">
        <v>2267858.0825215499</v>
      </c>
      <c r="K123" s="1341">
        <v>162806175.62826869</v>
      </c>
      <c r="L123" s="1347">
        <v>1415622963.5217302</v>
      </c>
      <c r="M123" s="1352"/>
      <c r="N123" s="1324"/>
    </row>
    <row r="124" spans="1:14">
      <c r="A124" s="1352"/>
      <c r="B124" s="1340">
        <v>6</v>
      </c>
      <c r="C124" s="1350">
        <v>336.31</v>
      </c>
      <c r="D124" s="1350">
        <v>0</v>
      </c>
      <c r="E124" s="1350">
        <v>0</v>
      </c>
      <c r="F124" s="1350">
        <v>0</v>
      </c>
      <c r="G124" s="1350">
        <v>336.31</v>
      </c>
      <c r="H124" s="1352"/>
      <c r="I124" s="1358">
        <v>1578429475.4599988</v>
      </c>
      <c r="J124" s="1341">
        <v>2267858.2001508605</v>
      </c>
      <c r="K124" s="1341">
        <v>165074033.82841954</v>
      </c>
      <c r="L124" s="1347">
        <v>1413355441.6315794</v>
      </c>
      <c r="M124" s="1352"/>
      <c r="N124" s="1324"/>
    </row>
    <row r="125" spans="1:14">
      <c r="A125" s="1352"/>
      <c r="B125" s="1340">
        <v>7</v>
      </c>
      <c r="C125" s="1350">
        <v>0</v>
      </c>
      <c r="D125" s="1350">
        <v>0</v>
      </c>
      <c r="E125" s="1350">
        <v>0</v>
      </c>
      <c r="F125" s="1350">
        <v>4096227.83</v>
      </c>
      <c r="G125" s="1350">
        <v>4096227.83</v>
      </c>
      <c r="H125" s="1352"/>
      <c r="I125" s="1358">
        <v>1578429475.4599988</v>
      </c>
      <c r="J125" s="1341">
        <v>2267858.441752872</v>
      </c>
      <c r="K125" s="1341">
        <v>167341892.27017242</v>
      </c>
      <c r="L125" s="1347">
        <v>1411087583.1898265</v>
      </c>
      <c r="M125" s="1352"/>
      <c r="N125" s="1324"/>
    </row>
    <row r="126" spans="1:14">
      <c r="A126" s="1352"/>
      <c r="B126" s="1340">
        <v>8</v>
      </c>
      <c r="C126" s="1350">
        <v>261.07</v>
      </c>
      <c r="D126" s="1350">
        <v>0</v>
      </c>
      <c r="E126" s="1350">
        <v>0</v>
      </c>
      <c r="F126" s="1350">
        <v>4247.4399999999996</v>
      </c>
      <c r="G126" s="1350">
        <v>4508.5099999999993</v>
      </c>
      <c r="H126" s="1352"/>
      <c r="I126" s="1358">
        <v>1578429736.5299988</v>
      </c>
      <c r="J126" s="1341">
        <v>2267858.6293031592</v>
      </c>
      <c r="K126" s="1341">
        <v>169609750.89947557</v>
      </c>
      <c r="L126" s="1347">
        <v>1408819985.6305232</v>
      </c>
      <c r="M126" s="1352"/>
      <c r="N126" s="1324"/>
    </row>
    <row r="127" spans="1:14">
      <c r="A127" s="1352"/>
      <c r="B127" s="1340">
        <v>9</v>
      </c>
      <c r="C127" s="1350">
        <v>0</v>
      </c>
      <c r="D127" s="1350">
        <v>0</v>
      </c>
      <c r="E127" s="1350">
        <v>0</v>
      </c>
      <c r="F127" s="1350">
        <v>4859.25</v>
      </c>
      <c r="G127" s="1350">
        <v>4859.25</v>
      </c>
      <c r="H127" s="1352"/>
      <c r="I127" s="1358">
        <v>1578429736.5299988</v>
      </c>
      <c r="J127" s="1341">
        <v>2267858.8168534464</v>
      </c>
      <c r="K127" s="1341">
        <v>171877609.71632901</v>
      </c>
      <c r="L127" s="1347">
        <v>1406552126.8136697</v>
      </c>
      <c r="M127" s="1352"/>
      <c r="N127" s="1324"/>
    </row>
    <row r="128" spans="1:14">
      <c r="A128" s="1352"/>
      <c r="B128" s="1340">
        <v>10</v>
      </c>
      <c r="C128" s="1350">
        <v>18693.79</v>
      </c>
      <c r="D128" s="1350">
        <v>0</v>
      </c>
      <c r="E128" s="1350">
        <v>0</v>
      </c>
      <c r="F128" s="1350">
        <v>56558.64</v>
      </c>
      <c r="G128" s="1350">
        <v>75252.429999999993</v>
      </c>
      <c r="H128" s="1352"/>
      <c r="I128" s="1358">
        <v>1578448430.3199987</v>
      </c>
      <c r="J128" s="1341">
        <v>2267872.2463002857</v>
      </c>
      <c r="K128" s="1341">
        <v>174145481.96262929</v>
      </c>
      <c r="L128" s="1347">
        <v>1404302948.3573694</v>
      </c>
      <c r="M128" s="1352"/>
      <c r="N128" s="1324"/>
    </row>
    <row r="129" spans="1:14">
      <c r="A129" s="1352"/>
      <c r="B129" s="1340">
        <v>11</v>
      </c>
      <c r="C129" s="1350">
        <v>249.67000000000002</v>
      </c>
      <c r="D129" s="1350">
        <v>0</v>
      </c>
      <c r="E129" s="1350">
        <v>0</v>
      </c>
      <c r="F129" s="1350">
        <v>14568.11</v>
      </c>
      <c r="G129" s="1350">
        <v>14817.78</v>
      </c>
      <c r="H129" s="1352"/>
      <c r="I129" s="1358">
        <v>1578448679.9899988</v>
      </c>
      <c r="J129" s="1341">
        <v>2267885.8551077568</v>
      </c>
      <c r="K129" s="1341">
        <v>176413367.81773704</v>
      </c>
      <c r="L129" s="1347">
        <v>1402035312.1722617</v>
      </c>
      <c r="M129" s="1352"/>
      <c r="N129" s="1324"/>
    </row>
    <row r="130" spans="1:14">
      <c r="A130" s="1352"/>
      <c r="B130" s="1340">
        <v>12</v>
      </c>
      <c r="C130" s="1350">
        <v>12608.060000000001</v>
      </c>
      <c r="D130" s="1350">
        <v>0</v>
      </c>
      <c r="E130" s="1350">
        <v>0</v>
      </c>
      <c r="F130" s="1350">
        <v>2604.6999999999998</v>
      </c>
      <c r="G130" s="1350">
        <v>15212.760000000002</v>
      </c>
      <c r="H130" s="1352"/>
      <c r="I130" s="1359">
        <v>1578461288.0499988</v>
      </c>
      <c r="J130" s="1341">
        <v>2267895.0919827567</v>
      </c>
      <c r="K130" s="1341">
        <v>178681262.90971979</v>
      </c>
      <c r="L130" s="1347">
        <v>1399780025.1402791</v>
      </c>
      <c r="M130" s="1349">
        <v>1413360220.1655149</v>
      </c>
      <c r="N130" s="1324"/>
    </row>
    <row r="131" spans="1:14">
      <c r="A131" s="1351">
        <v>2019</v>
      </c>
      <c r="B131" s="1340">
        <v>1</v>
      </c>
      <c r="C131" s="1350">
        <v>3672.4400000000005</v>
      </c>
      <c r="D131" s="1350">
        <v>0</v>
      </c>
      <c r="E131" s="1350">
        <v>0</v>
      </c>
      <c r="F131" s="1350">
        <v>1926.6999999999994</v>
      </c>
      <c r="G131" s="1350">
        <v>5599.1399999999994</v>
      </c>
      <c r="H131" s="1352"/>
      <c r="I131" s="1358">
        <v>1578464960.4899988</v>
      </c>
      <c r="J131" s="1341">
        <v>2267906.7877442511</v>
      </c>
      <c r="K131" s="1341">
        <v>180949169.69746405</v>
      </c>
      <c r="L131" s="1347">
        <v>1397515790.7925348</v>
      </c>
      <c r="M131" s="1352"/>
      <c r="N131" s="1324"/>
    </row>
    <row r="132" spans="1:14">
      <c r="A132" s="1352"/>
      <c r="B132" s="1340">
        <v>2</v>
      </c>
      <c r="C132" s="1350">
        <v>0</v>
      </c>
      <c r="D132" s="1350">
        <v>0</v>
      </c>
      <c r="E132" s="1350">
        <v>0</v>
      </c>
      <c r="F132" s="1350">
        <v>2371.9499999999994</v>
      </c>
      <c r="G132" s="1350">
        <v>2371.9499999999994</v>
      </c>
      <c r="H132" s="1352"/>
      <c r="I132" s="1358">
        <v>1578464960.4899988</v>
      </c>
      <c r="J132" s="1341">
        <v>2267909.4259913778</v>
      </c>
      <c r="K132" s="1341">
        <v>183217079.12345544</v>
      </c>
      <c r="L132" s="1347">
        <v>1395247881.3665433</v>
      </c>
      <c r="M132" s="1352"/>
      <c r="N132" s="1324"/>
    </row>
    <row r="133" spans="1:14">
      <c r="A133" s="1352"/>
      <c r="B133" s="1340">
        <v>3</v>
      </c>
      <c r="C133" s="1350">
        <v>5406.42</v>
      </c>
      <c r="D133" s="1350">
        <v>0</v>
      </c>
      <c r="E133" s="1350">
        <v>0</v>
      </c>
      <c r="F133" s="1350">
        <v>-65.160000000000537</v>
      </c>
      <c r="G133" s="1350">
        <v>5341.2599999999993</v>
      </c>
      <c r="H133" s="1352"/>
      <c r="I133" s="1358">
        <v>1578470366.9099989</v>
      </c>
      <c r="J133" s="1341">
        <v>2267913.3099137917</v>
      </c>
      <c r="K133" s="1341">
        <v>185484992.43336922</v>
      </c>
      <c r="L133" s="1347">
        <v>1392985374.4766297</v>
      </c>
      <c r="M133" s="1352"/>
      <c r="N133" s="1324"/>
    </row>
    <row r="134" spans="1:14">
      <c r="A134" s="1352"/>
      <c r="B134" s="1340">
        <v>4</v>
      </c>
      <c r="C134" s="1350">
        <v>0</v>
      </c>
      <c r="D134" s="1350">
        <v>0</v>
      </c>
      <c r="E134" s="1350">
        <v>0</v>
      </c>
      <c r="F134" s="1350">
        <v>1720.85</v>
      </c>
      <c r="G134" s="1350">
        <v>1720.85</v>
      </c>
      <c r="H134" s="1352"/>
      <c r="I134" s="1358">
        <v>1578470366.9099989</v>
      </c>
      <c r="J134" s="1341">
        <v>2267917.1938362052</v>
      </c>
      <c r="K134" s="1341">
        <v>187752909.62720543</v>
      </c>
      <c r="L134" s="1347">
        <v>1390717457.2827935</v>
      </c>
      <c r="M134" s="1352"/>
      <c r="N134" s="1324"/>
    </row>
    <row r="135" spans="1:14">
      <c r="A135" s="1352"/>
      <c r="B135" s="1340">
        <v>5</v>
      </c>
      <c r="C135" s="1350">
        <v>0</v>
      </c>
      <c r="D135" s="1350">
        <v>0</v>
      </c>
      <c r="E135" s="1350">
        <v>0</v>
      </c>
      <c r="F135" s="1350">
        <v>1851.6</v>
      </c>
      <c r="G135" s="1350">
        <v>1851.6</v>
      </c>
      <c r="H135" s="1352"/>
      <c r="I135" s="1358">
        <v>1578470366.9099989</v>
      </c>
      <c r="J135" s="1341">
        <v>2267917.1938362052</v>
      </c>
      <c r="K135" s="1341">
        <v>190020826.82104164</v>
      </c>
      <c r="L135" s="1347">
        <v>1388449540.0889573</v>
      </c>
      <c r="M135" s="1352"/>
      <c r="N135" s="1324"/>
    </row>
    <row r="136" spans="1:14">
      <c r="A136" s="1352"/>
      <c r="B136" s="1340">
        <v>6</v>
      </c>
      <c r="C136" s="1350">
        <v>0</v>
      </c>
      <c r="D136" s="1350">
        <v>0</v>
      </c>
      <c r="E136" s="1350">
        <v>0</v>
      </c>
      <c r="F136" s="1350">
        <v>1679.37</v>
      </c>
      <c r="G136" s="1350">
        <v>1679.37</v>
      </c>
      <c r="H136" s="1352"/>
      <c r="I136" s="1358">
        <v>1578470366.9099989</v>
      </c>
      <c r="J136" s="1341">
        <v>2267917.1938362052</v>
      </c>
      <c r="K136" s="1341">
        <v>192288744.01487786</v>
      </c>
      <c r="L136" s="1347">
        <v>1386181622.8951211</v>
      </c>
      <c r="M136" s="1352"/>
      <c r="N136" s="1324"/>
    </row>
    <row r="137" spans="1:14">
      <c r="A137" s="1352"/>
      <c r="B137" s="1340">
        <v>7</v>
      </c>
      <c r="C137" s="1350">
        <v>2187</v>
      </c>
      <c r="D137" s="1350">
        <v>0</v>
      </c>
      <c r="E137" s="1350">
        <v>0</v>
      </c>
      <c r="F137" s="1350">
        <v>1323.2700000000004</v>
      </c>
      <c r="G137" s="1350">
        <v>3510.2700000000004</v>
      </c>
      <c r="H137" s="1352"/>
      <c r="I137" s="1358">
        <v>1578472553.9099989</v>
      </c>
      <c r="J137" s="1341">
        <v>2267918.7649568948</v>
      </c>
      <c r="K137" s="1341">
        <v>194556662.77983475</v>
      </c>
      <c r="L137" s="1347">
        <v>1383915891.1301641</v>
      </c>
      <c r="M137" s="1352"/>
      <c r="N137" s="1324"/>
    </row>
    <row r="138" spans="1:14">
      <c r="A138" s="1352"/>
      <c r="B138" s="1340">
        <v>8</v>
      </c>
      <c r="C138" s="1350">
        <v>9334.2199999999993</v>
      </c>
      <c r="D138" s="1350">
        <v>67297.84</v>
      </c>
      <c r="E138" s="1350">
        <v>0</v>
      </c>
      <c r="F138" s="1350">
        <v>3142.16</v>
      </c>
      <c r="G138" s="1350">
        <v>79774.22</v>
      </c>
      <c r="H138" s="1352"/>
      <c r="I138" s="1358">
        <v>1578481888.1299989</v>
      </c>
      <c r="J138" s="1341">
        <v>2267927.0416954006</v>
      </c>
      <c r="K138" s="1341">
        <v>196824589.82153013</v>
      </c>
      <c r="L138" s="1347">
        <v>1381657298.3084688</v>
      </c>
      <c r="M138" s="1352"/>
      <c r="N138" s="1324"/>
    </row>
    <row r="139" spans="1:14">
      <c r="A139" s="1352"/>
      <c r="B139" s="1340">
        <v>9</v>
      </c>
      <c r="C139" s="1350">
        <v>19463.02</v>
      </c>
      <c r="D139" s="1350">
        <v>13813.660000000003</v>
      </c>
      <c r="E139" s="1350">
        <v>0</v>
      </c>
      <c r="F139" s="1350">
        <v>1953.5600000000004</v>
      </c>
      <c r="G139" s="1350">
        <v>35230.240000000005</v>
      </c>
      <c r="H139" s="1352"/>
      <c r="I139" s="1358">
        <v>1578501351.1499989</v>
      </c>
      <c r="J139" s="1341">
        <v>2267947.7293678145</v>
      </c>
      <c r="K139" s="1341">
        <v>199092537.55089796</v>
      </c>
      <c r="L139" s="1347">
        <v>1379408813.5991011</v>
      </c>
      <c r="M139" s="1352"/>
      <c r="N139" s="1324"/>
    </row>
    <row r="140" spans="1:14">
      <c r="A140" s="1352"/>
      <c r="B140" s="1340">
        <v>10</v>
      </c>
      <c r="C140" s="1350">
        <v>21157.55</v>
      </c>
      <c r="D140" s="1350">
        <v>-3326.2399999999907</v>
      </c>
      <c r="E140" s="1350">
        <v>0</v>
      </c>
      <c r="F140" s="1350">
        <v>1894.62</v>
      </c>
      <c r="G140" s="1350">
        <v>19725.930000000008</v>
      </c>
      <c r="H140" s="1352"/>
      <c r="I140" s="1358">
        <v>1578522508.6999989</v>
      </c>
      <c r="J140" s="1341">
        <v>2267976.91081178</v>
      </c>
      <c r="K140" s="1341">
        <v>201360514.46170974</v>
      </c>
      <c r="L140" s="1347">
        <v>1377161994.2382891</v>
      </c>
      <c r="M140" s="1352"/>
      <c r="N140" s="1324"/>
    </row>
    <row r="141" spans="1:14">
      <c r="A141" s="1352"/>
      <c r="B141" s="1340">
        <v>11</v>
      </c>
      <c r="C141" s="1350">
        <v>17734</v>
      </c>
      <c r="D141" s="1350">
        <v>0</v>
      </c>
      <c r="E141" s="1350">
        <v>0</v>
      </c>
      <c r="F141" s="1350">
        <v>2594.3100000000009</v>
      </c>
      <c r="G141" s="1350">
        <v>20328.310000000001</v>
      </c>
      <c r="H141" s="1352"/>
      <c r="I141" s="1358">
        <v>1578540242.6999989</v>
      </c>
      <c r="J141" s="1341">
        <v>2268004.8501436766</v>
      </c>
      <c r="K141" s="1341">
        <v>203628519.31185341</v>
      </c>
      <c r="L141" s="1347">
        <v>1374911723.3881454</v>
      </c>
      <c r="M141" s="1352"/>
      <c r="N141" s="1324"/>
    </row>
    <row r="142" spans="1:14">
      <c r="A142" s="1352"/>
      <c r="B142" s="1340">
        <v>12</v>
      </c>
      <c r="C142" s="1350">
        <v>65785.42</v>
      </c>
      <c r="D142" s="1350">
        <v>635.6400000000001</v>
      </c>
      <c r="E142" s="1350">
        <v>3776.75</v>
      </c>
      <c r="F142" s="1350">
        <v>2091.5499999999988</v>
      </c>
      <c r="G142" s="1350">
        <v>72289.36</v>
      </c>
      <c r="H142" s="1352"/>
      <c r="I142" s="1359">
        <v>1578606028.1199989</v>
      </c>
      <c r="J142" s="1341">
        <v>2268064.8497270099</v>
      </c>
      <c r="K142" s="1341">
        <v>205896584.16158041</v>
      </c>
      <c r="L142" s="1347">
        <v>1372709443.9584186</v>
      </c>
      <c r="M142" s="1349">
        <v>1386203296.6665728</v>
      </c>
      <c r="N142" s="1324"/>
    </row>
    <row r="143" spans="1:14">
      <c r="A143" s="1351">
        <v>2020</v>
      </c>
      <c r="B143" s="1340">
        <v>1</v>
      </c>
      <c r="C143" s="1350">
        <v>18598953.799999997</v>
      </c>
      <c r="D143" s="1350">
        <v>-111.94999999999999</v>
      </c>
      <c r="E143" s="1350">
        <v>28363.47</v>
      </c>
      <c r="F143" s="1350">
        <v>1413.1299999999999</v>
      </c>
      <c r="G143" s="1350">
        <v>18628618.449999996</v>
      </c>
      <c r="H143" s="1352"/>
      <c r="I143" s="1358">
        <v>1597204981.9199989</v>
      </c>
      <c r="J143" s="1341">
        <v>2281473.4267528718</v>
      </c>
      <c r="K143" s="1341">
        <v>208178057.58833328</v>
      </c>
      <c r="L143" s="1347">
        <v>1389026924.3316655</v>
      </c>
      <c r="M143" s="1352"/>
      <c r="N143" s="1324"/>
    </row>
    <row r="144" spans="1:14">
      <c r="A144" s="1352"/>
      <c r="B144" s="1340">
        <v>2</v>
      </c>
      <c r="C144" s="1350">
        <v>157972.82000000056</v>
      </c>
      <c r="D144" s="1350"/>
      <c r="E144" s="1350">
        <v>96.889999999999873</v>
      </c>
      <c r="F144" s="1350">
        <v>4452.1000000000004</v>
      </c>
      <c r="G144" s="1350">
        <v>162521.81000000058</v>
      </c>
      <c r="H144" s="1352"/>
      <c r="I144" s="1358">
        <v>1597362954.7399988</v>
      </c>
      <c r="J144" s="1341">
        <v>2294948.2303591939</v>
      </c>
      <c r="K144" s="1341">
        <v>210473005.81869248</v>
      </c>
      <c r="L144" s="1347">
        <v>1386889948.9213064</v>
      </c>
      <c r="M144" s="1352"/>
      <c r="N144" s="1324"/>
    </row>
    <row r="145" spans="1:14">
      <c r="A145" s="1352"/>
      <c r="B145" s="1340">
        <v>3</v>
      </c>
      <c r="C145" s="1350">
        <v>166040.95000000074</v>
      </c>
      <c r="D145" s="1350"/>
      <c r="E145" s="1350">
        <v>1676.1</v>
      </c>
      <c r="F145" s="1350"/>
      <c r="G145" s="1350">
        <v>167717.05000000075</v>
      </c>
      <c r="H145" s="1352"/>
      <c r="I145" s="1358">
        <v>1597528995.6899989</v>
      </c>
      <c r="J145" s="1341">
        <v>2295180.9988721246</v>
      </c>
      <c r="K145" s="1341">
        <v>212768186.81756461</v>
      </c>
      <c r="L145" s="1347">
        <v>1384760808.8724341</v>
      </c>
      <c r="M145" s="1352"/>
      <c r="N145" s="1324"/>
    </row>
    <row r="146" spans="1:14">
      <c r="A146" s="1352"/>
      <c r="B146" s="1340">
        <v>4</v>
      </c>
      <c r="C146" s="1350">
        <v>348317.24000000057</v>
      </c>
      <c r="D146" s="1350">
        <v>650494.19999999995</v>
      </c>
      <c r="E146" s="1350">
        <v>83.789999999999964</v>
      </c>
      <c r="F146" s="1350"/>
      <c r="G146" s="1350">
        <v>998895.23000000056</v>
      </c>
      <c r="H146" s="1352"/>
      <c r="I146" s="1358">
        <v>1597877312.9299989</v>
      </c>
      <c r="J146" s="1341">
        <v>2295550.5090660905</v>
      </c>
      <c r="K146" s="1341">
        <v>215063737.32663071</v>
      </c>
      <c r="L146" s="1347">
        <v>1382813575.6033683</v>
      </c>
      <c r="M146" s="1352"/>
      <c r="N146" s="1324"/>
    </row>
    <row r="147" spans="1:14">
      <c r="A147" s="1352"/>
      <c r="B147" s="1340">
        <v>5</v>
      </c>
      <c r="C147" s="1350">
        <v>-154774.85999999996</v>
      </c>
      <c r="D147" s="1350">
        <v>1636.8099999999965</v>
      </c>
      <c r="E147" s="1350"/>
      <c r="F147" s="1350"/>
      <c r="G147" s="1350">
        <v>-153138.04999999996</v>
      </c>
      <c r="H147" s="1352"/>
      <c r="I147" s="1358">
        <v>1597722538.069999</v>
      </c>
      <c r="J147" s="1341">
        <v>2295689.5481321826</v>
      </c>
      <c r="K147" s="1341">
        <v>217359426.87476289</v>
      </c>
      <c r="L147" s="1347">
        <v>1380363111.1952362</v>
      </c>
      <c r="M147" s="1352"/>
      <c r="N147" s="1324"/>
    </row>
    <row r="148" spans="1:14">
      <c r="A148" s="1352"/>
      <c r="B148" s="1340">
        <v>6</v>
      </c>
      <c r="C148" s="1350">
        <v>576975.14000000025</v>
      </c>
      <c r="D148" s="1350">
        <v>-9678.7099999999064</v>
      </c>
      <c r="E148" s="1350">
        <v>9878.18</v>
      </c>
      <c r="F148" s="1350"/>
      <c r="G148" s="1350">
        <v>577174.61000000034</v>
      </c>
      <c r="H148" s="1352"/>
      <c r="I148" s="1358">
        <v>1598299513.2099991</v>
      </c>
      <c r="J148" s="1341">
        <v>2295992.8529310329</v>
      </c>
      <c r="K148" s="1341">
        <v>219655419.72769392</v>
      </c>
      <c r="L148" s="1347">
        <v>1378644093.482305</v>
      </c>
      <c r="M148" s="1352"/>
      <c r="N148" s="1324"/>
    </row>
    <row r="149" spans="1:14">
      <c r="A149" s="1352"/>
      <c r="B149" s="1340">
        <v>7</v>
      </c>
      <c r="C149" s="1350">
        <v>67898.399999999907</v>
      </c>
      <c r="D149" s="1350">
        <v>3807.369999999913</v>
      </c>
      <c r="E149" s="1350">
        <v>27481.040000000001</v>
      </c>
      <c r="F149" s="1350"/>
      <c r="G149" s="1350">
        <v>99186.809999999823</v>
      </c>
      <c r="H149" s="1352"/>
      <c r="I149" s="1358">
        <v>1598367411.6099992</v>
      </c>
      <c r="J149" s="1341">
        <v>2296456.1241522976</v>
      </c>
      <c r="K149" s="1341">
        <v>221951875.85184622</v>
      </c>
      <c r="L149" s="1347">
        <v>1376415535.758153</v>
      </c>
      <c r="M149" s="1352"/>
      <c r="N149" s="1324"/>
    </row>
    <row r="150" spans="1:14">
      <c r="A150" s="1352"/>
      <c r="B150" s="1340">
        <v>8</v>
      </c>
      <c r="C150" s="1350">
        <v>13478.159999999974</v>
      </c>
      <c r="D150" s="1350">
        <v>19515.539999999994</v>
      </c>
      <c r="E150" s="1350">
        <v>3773</v>
      </c>
      <c r="F150" s="1350"/>
      <c r="G150" s="1350">
        <v>36766.699999999968</v>
      </c>
      <c r="H150" s="1352"/>
      <c r="I150" s="1358">
        <v>1598380889.7699993</v>
      </c>
      <c r="J150" s="1341">
        <v>2296514.5843247115</v>
      </c>
      <c r="K150" s="1341">
        <v>224248390.43617094</v>
      </c>
      <c r="L150" s="1347">
        <v>1374132499.3338284</v>
      </c>
      <c r="M150" s="1352"/>
      <c r="N150" s="1324"/>
    </row>
    <row r="151" spans="1:14">
      <c r="A151" s="1352"/>
      <c r="B151" s="1340">
        <v>9</v>
      </c>
      <c r="C151" s="1350">
        <v>797468.3</v>
      </c>
      <c r="D151" s="1350">
        <v>1238.96</v>
      </c>
      <c r="E151" s="1350">
        <v>10608.510000000002</v>
      </c>
      <c r="F151" s="1350"/>
      <c r="G151" s="1350">
        <v>809315.77</v>
      </c>
      <c r="H151" s="1352"/>
      <c r="I151" s="1358">
        <v>1599178358.0699992</v>
      </c>
      <c r="J151" s="1341">
        <v>2297097.1608045967</v>
      </c>
      <c r="K151" s="1341">
        <v>226545487.59697554</v>
      </c>
      <c r="L151" s="1347">
        <v>1372632870.4730237</v>
      </c>
      <c r="M151" s="1352"/>
      <c r="N151" s="1324"/>
    </row>
    <row r="152" spans="1:14">
      <c r="A152" s="1352"/>
      <c r="B152" s="1340">
        <v>10</v>
      </c>
      <c r="C152" s="1350">
        <v>-570642.29999999993</v>
      </c>
      <c r="D152" s="1350">
        <v>-904.38000000000011</v>
      </c>
      <c r="E152" s="1350">
        <v>922.47000000000116</v>
      </c>
      <c r="F152" s="1350"/>
      <c r="G152" s="1350">
        <v>-570624.21</v>
      </c>
      <c r="H152" s="1352"/>
      <c r="I152" s="1358">
        <v>1598607715.7699993</v>
      </c>
      <c r="J152" s="1341">
        <v>2297260.1105172406</v>
      </c>
      <c r="K152" s="1341">
        <v>228842747.70749277</v>
      </c>
      <c r="L152" s="1347">
        <v>1369764968.0625064</v>
      </c>
      <c r="M152" s="1352"/>
      <c r="N152" s="1324"/>
    </row>
    <row r="153" spans="1:14">
      <c r="A153" s="1352"/>
      <c r="B153" s="1340">
        <v>11</v>
      </c>
      <c r="C153" s="1350">
        <v>605872960.41999996</v>
      </c>
      <c r="D153" s="1350">
        <v>76168.639999999985</v>
      </c>
      <c r="E153" s="1350">
        <v>879933.87999999989</v>
      </c>
      <c r="F153" s="1350"/>
      <c r="G153" s="1350">
        <v>606829062.93999994</v>
      </c>
      <c r="H153" s="1352"/>
      <c r="I153" s="1358">
        <v>2204480676.1899991</v>
      </c>
      <c r="J153" s="1341">
        <v>2732103.7298563207</v>
      </c>
      <c r="K153" s="1341">
        <v>231574851.43734908</v>
      </c>
      <c r="L153" s="1347">
        <v>1972905824.75265</v>
      </c>
      <c r="M153" s="1352"/>
      <c r="N153" s="1324"/>
    </row>
    <row r="154" spans="1:14">
      <c r="A154" s="1352"/>
      <c r="B154" s="1340">
        <v>12</v>
      </c>
      <c r="C154" s="1350">
        <v>12253569.889999976</v>
      </c>
      <c r="D154" s="1350">
        <v>1575504.48</v>
      </c>
      <c r="E154" s="1350">
        <v>1433258.3499999999</v>
      </c>
      <c r="F154" s="1350"/>
      <c r="G154" s="1350">
        <v>15262332.719999976</v>
      </c>
      <c r="H154" s="1352"/>
      <c r="I154" s="1359">
        <v>2216734246.079999</v>
      </c>
      <c r="J154" s="1341">
        <v>3176160.1453089067</v>
      </c>
      <c r="K154" s="1341">
        <v>234751011.58265799</v>
      </c>
      <c r="L154" s="1347">
        <v>1981983234.4973409</v>
      </c>
      <c r="M154" s="1349">
        <v>1471003295.3263257</v>
      </c>
      <c r="N154" s="1324"/>
    </row>
    <row r="155" spans="1:14">
      <c r="A155" s="1351">
        <v>2021</v>
      </c>
      <c r="B155" s="1340">
        <v>1</v>
      </c>
      <c r="C155" s="1350">
        <v>810788.63</v>
      </c>
      <c r="D155" s="1350">
        <v>255.55</v>
      </c>
      <c r="E155" s="1350">
        <v>12926.08</v>
      </c>
      <c r="F155" s="1350">
        <v>21903.61</v>
      </c>
      <c r="G155" s="1350">
        <v>845873.87</v>
      </c>
      <c r="H155" s="1352"/>
      <c r="I155" s="1358">
        <v>2217545034.7099991</v>
      </c>
      <c r="J155" s="1341">
        <v>3185545.4603376421</v>
      </c>
      <c r="K155" s="1341">
        <v>237936557.04299563</v>
      </c>
      <c r="L155" s="1347">
        <v>1979608477.6670034</v>
      </c>
      <c r="M155" s="1352"/>
      <c r="N155" s="1324"/>
    </row>
    <row r="156" spans="1:14">
      <c r="A156" s="1352"/>
      <c r="B156" s="1340">
        <v>2</v>
      </c>
      <c r="C156" s="1350">
        <v>258663.59</v>
      </c>
      <c r="D156" s="1350">
        <v>27753.38</v>
      </c>
      <c r="E156" s="1350">
        <v>8552.94</v>
      </c>
      <c r="F156" s="1350">
        <v>0</v>
      </c>
      <c r="G156" s="1350">
        <v>294969.90999999997</v>
      </c>
      <c r="H156" s="1386"/>
      <c r="I156" s="1358">
        <v>2217803698.2999992</v>
      </c>
      <c r="J156" s="1341">
        <v>3186313.744978447</v>
      </c>
      <c r="K156" s="1341">
        <v>241122870.78797409</v>
      </c>
      <c r="L156" s="1347">
        <v>1976680827.5120251</v>
      </c>
      <c r="M156" s="1386"/>
    </row>
    <row r="157" spans="1:14">
      <c r="A157" s="1352"/>
      <c r="B157" s="1340">
        <v>3</v>
      </c>
      <c r="C157" s="1350">
        <v>669119.64</v>
      </c>
      <c r="D157" s="1350">
        <v>1620.34</v>
      </c>
      <c r="E157" s="1350">
        <v>2844.18</v>
      </c>
      <c r="F157" s="1350">
        <v>0</v>
      </c>
      <c r="G157" s="1350">
        <v>673584.16</v>
      </c>
      <c r="H157" s="1386"/>
      <c r="I157" s="1358">
        <v>2218472817.9399991</v>
      </c>
      <c r="J157" s="1341">
        <v>3186980.2559195394</v>
      </c>
      <c r="K157" s="1341">
        <v>244309851.04389364</v>
      </c>
      <c r="L157" s="1347">
        <v>1974162966.8961055</v>
      </c>
      <c r="M157" s="1386"/>
    </row>
    <row r="158" spans="1:14">
      <c r="A158" s="1352"/>
      <c r="B158" s="1340">
        <v>4</v>
      </c>
      <c r="C158" s="1350">
        <v>-203488.62</v>
      </c>
      <c r="D158" s="1350">
        <v>132.53</v>
      </c>
      <c r="E158" s="1350">
        <v>5253.58</v>
      </c>
      <c r="F158" s="1350">
        <v>0</v>
      </c>
      <c r="G158" s="1350">
        <v>-198102.51</v>
      </c>
      <c r="H158" s="1386"/>
      <c r="I158" s="1358">
        <v>2218269329.3199992</v>
      </c>
      <c r="J158" s="1341">
        <v>3187314.7609626423</v>
      </c>
      <c r="K158" s="1341">
        <v>247497165.80485627</v>
      </c>
      <c r="L158" s="1347">
        <v>1970772163.5151429</v>
      </c>
      <c r="M158" s="1386"/>
    </row>
    <row r="159" spans="1:14">
      <c r="A159" s="1352"/>
      <c r="B159" s="1340">
        <v>5</v>
      </c>
      <c r="C159" s="1350">
        <v>1756994.38</v>
      </c>
      <c r="D159" s="1350">
        <v>-15.88</v>
      </c>
      <c r="E159" s="1350">
        <v>920.64</v>
      </c>
      <c r="F159" s="1350">
        <v>0</v>
      </c>
      <c r="G159" s="1350">
        <v>1757899.14</v>
      </c>
      <c r="H159" s="1386"/>
      <c r="I159" s="1358">
        <v>2220026323.6999993</v>
      </c>
      <c r="J159" s="1341">
        <v>3188430.7852155161</v>
      </c>
      <c r="K159" s="1341">
        <v>250685596.5900718</v>
      </c>
      <c r="L159" s="1347">
        <v>1969340727.1099277</v>
      </c>
      <c r="M159" s="1386"/>
    </row>
    <row r="160" spans="1:14">
      <c r="A160" s="1352"/>
      <c r="B160" s="1340">
        <v>6</v>
      </c>
      <c r="C160" s="1350">
        <v>1908842.62</v>
      </c>
      <c r="D160" s="1350">
        <v>244.25</v>
      </c>
      <c r="E160" s="1350">
        <v>10556.41</v>
      </c>
      <c r="F160" s="1350">
        <v>0</v>
      </c>
      <c r="G160" s="1350">
        <v>1919643.28</v>
      </c>
      <c r="H160" s="1386"/>
      <c r="I160" s="1358">
        <v>2221935166.3199992</v>
      </c>
      <c r="J160" s="1341">
        <v>3191064.2888074704</v>
      </c>
      <c r="K160" s="1341">
        <v>253876660.87887928</v>
      </c>
      <c r="L160" s="1347">
        <v>1968058505.4411199</v>
      </c>
      <c r="M160" s="1386"/>
    </row>
    <row r="161" spans="1:13">
      <c r="A161" s="1352"/>
      <c r="B161" s="1340">
        <v>7</v>
      </c>
      <c r="C161" s="1350">
        <v>2277763.7999999998</v>
      </c>
      <c r="D161" s="1350">
        <v>228.5</v>
      </c>
      <c r="E161" s="1350">
        <v>10184.01</v>
      </c>
      <c r="F161" s="1350">
        <v>0</v>
      </c>
      <c r="G161" s="1350">
        <v>2288176.31</v>
      </c>
      <c r="H161" s="1386"/>
      <c r="I161" s="1358">
        <v>2224212930.1199994</v>
      </c>
      <c r="J161" s="1341">
        <v>3194071.9083620678</v>
      </c>
      <c r="K161" s="1341">
        <v>257070732.78724134</v>
      </c>
      <c r="L161" s="1347">
        <v>1967142197.3327579</v>
      </c>
      <c r="M161" s="1386"/>
    </row>
    <row r="162" spans="1:13">
      <c r="A162" s="1352"/>
      <c r="B162" s="1340">
        <v>8</v>
      </c>
      <c r="C162" s="1350">
        <v>-4074185.85</v>
      </c>
      <c r="D162" s="1350">
        <v>-99.84</v>
      </c>
      <c r="E162" s="1350">
        <v>442.79</v>
      </c>
      <c r="F162" s="1350">
        <v>0</v>
      </c>
      <c r="G162" s="1350">
        <v>-4073842.9</v>
      </c>
      <c r="H162" s="1386"/>
      <c r="I162" s="1358">
        <v>2220138744.2699995</v>
      </c>
      <c r="J162" s="1341">
        <v>3192781.3752801716</v>
      </c>
      <c r="K162" s="1341">
        <v>260263514.16252151</v>
      </c>
      <c r="L162" s="1347">
        <v>1959875230.1074779</v>
      </c>
      <c r="M162" s="1386"/>
    </row>
    <row r="163" spans="1:13">
      <c r="A163" s="1352"/>
      <c r="B163" s="1340">
        <v>9</v>
      </c>
      <c r="C163" s="1350">
        <v>207254.04</v>
      </c>
      <c r="D163" s="1350">
        <v>58.7</v>
      </c>
      <c r="E163" s="1350">
        <v>0</v>
      </c>
      <c r="F163" s="1350">
        <v>0</v>
      </c>
      <c r="G163" s="1350">
        <v>207312.74</v>
      </c>
      <c r="H163" s="1386"/>
      <c r="I163" s="1358">
        <v>2220345998.3099995</v>
      </c>
      <c r="J163" s="1341">
        <v>3190003.4070258611</v>
      </c>
      <c r="K163" s="1341">
        <v>263453517.56954738</v>
      </c>
      <c r="L163" s="1347">
        <v>1956892480.7404521</v>
      </c>
      <c r="M163" s="1386"/>
    </row>
    <row r="164" spans="1:13">
      <c r="A164" s="1352"/>
      <c r="B164" s="1340">
        <v>10</v>
      </c>
      <c r="C164" s="1350">
        <v>632804.54</v>
      </c>
      <c r="D164" s="1350">
        <v>175.93</v>
      </c>
      <c r="E164" s="1350">
        <v>-148080.26999999999</v>
      </c>
      <c r="F164" s="1350">
        <v>0</v>
      </c>
      <c r="G164" s="1350">
        <v>484900.2</v>
      </c>
      <c r="H164" s="1386"/>
      <c r="I164" s="1358">
        <v>2220978802.8499994</v>
      </c>
      <c r="J164" s="1341">
        <v>3190606.8973850566</v>
      </c>
      <c r="K164" s="1341">
        <v>266644124.46693245</v>
      </c>
      <c r="L164" s="1347">
        <v>1954334678.3830669</v>
      </c>
      <c r="M164" s="1386"/>
    </row>
    <row r="165" spans="1:13">
      <c r="A165" s="1352"/>
      <c r="B165" s="1340">
        <v>11</v>
      </c>
      <c r="C165" s="1350">
        <v>-4101360.76</v>
      </c>
      <c r="D165" s="1350">
        <v>10394.040000000001</v>
      </c>
      <c r="E165" s="1350">
        <v>4232399.1500000004</v>
      </c>
      <c r="F165" s="1350">
        <v>0</v>
      </c>
      <c r="G165" s="1350">
        <v>141432.43</v>
      </c>
      <c r="H165" s="1386"/>
      <c r="I165" s="1358">
        <v>2216877442.0899992</v>
      </c>
      <c r="J165" s="1341">
        <v>3188115.1184913781</v>
      </c>
      <c r="K165" s="1341">
        <v>269832239.58542383</v>
      </c>
      <c r="L165" s="1347">
        <v>1947045202.5045753</v>
      </c>
      <c r="M165" s="1386"/>
    </row>
    <row r="166" spans="1:13">
      <c r="A166" s="1352"/>
      <c r="B166" s="1340">
        <v>12</v>
      </c>
      <c r="C166" s="1350">
        <v>-2641688.48</v>
      </c>
      <c r="D166" s="1350">
        <v>3157328.36</v>
      </c>
      <c r="E166" s="1350">
        <v>167.05</v>
      </c>
      <c r="F166" s="1350">
        <v>0</v>
      </c>
      <c r="G166" s="1350">
        <v>515806.93</v>
      </c>
      <c r="H166" s="1386"/>
      <c r="I166" s="1359">
        <v>2214235753.6099992</v>
      </c>
      <c r="J166" s="1341">
        <v>3183270.9739224124</v>
      </c>
      <c r="K166" s="1341">
        <v>273015510.55934626</v>
      </c>
      <c r="L166" s="1347">
        <v>1941220243.050653</v>
      </c>
      <c r="M166" s="1349">
        <v>1965162841.1352038</v>
      </c>
    </row>
    <row r="167" spans="1:13">
      <c r="A167" s="1351">
        <v>2022</v>
      </c>
      <c r="B167" s="1340">
        <v>1</v>
      </c>
      <c r="C167" s="1350">
        <v>-238545.96</v>
      </c>
      <c r="D167" s="1350">
        <v>35.18</v>
      </c>
      <c r="E167" s="1350">
        <v>73.72999999999999</v>
      </c>
      <c r="F167" s="1350">
        <v>0</v>
      </c>
      <c r="G167" s="1350">
        <v>-238437.05</v>
      </c>
      <c r="H167" s="1352"/>
      <c r="I167" s="1358">
        <v>2213997207.6499991</v>
      </c>
      <c r="J167" s="1341">
        <v>3181201.8399856309</v>
      </c>
      <c r="K167" s="1341">
        <v>276196712.39933187</v>
      </c>
      <c r="L167" s="1347">
        <v>1937800495.2506673</v>
      </c>
      <c r="M167" s="1352"/>
    </row>
    <row r="168" spans="1:13">
      <c r="A168" s="1352"/>
      <c r="B168" s="1340">
        <v>2</v>
      </c>
      <c r="C168" s="1350">
        <v>-43136.779999999992</v>
      </c>
      <c r="D168" s="1350">
        <v>22.17</v>
      </c>
      <c r="E168" s="1350">
        <v>318.11</v>
      </c>
      <c r="F168" s="1350">
        <v>0</v>
      </c>
      <c r="G168" s="1350">
        <v>-42796.499999999993</v>
      </c>
      <c r="H168" s="1386"/>
      <c r="I168" s="1358">
        <v>2213954070.8699989</v>
      </c>
      <c r="J168" s="1341">
        <v>3180999.481695401</v>
      </c>
      <c r="K168" s="1341">
        <v>279377711.88102728</v>
      </c>
      <c r="L168" s="1347">
        <v>1934576358.9889717</v>
      </c>
      <c r="M168" s="1386"/>
    </row>
    <row r="169" spans="1:13">
      <c r="A169" s="1352"/>
      <c r="B169" s="1340">
        <v>3</v>
      </c>
      <c r="C169" s="1350">
        <v>350829.56000000006</v>
      </c>
      <c r="D169" s="1350">
        <v>49.61</v>
      </c>
      <c r="E169" s="1350">
        <v>16.649999999999999</v>
      </c>
      <c r="F169" s="1350">
        <v>0</v>
      </c>
      <c r="G169" s="1350">
        <v>350895.82000000007</v>
      </c>
      <c r="H169" s="1386"/>
      <c r="I169" s="1358">
        <v>2214304900.4299989</v>
      </c>
      <c r="J169" s="1341">
        <v>3181220.5253591938</v>
      </c>
      <c r="K169" s="1341">
        <v>282558932.40638649</v>
      </c>
      <c r="L169" s="1347">
        <v>1931745968.0236125</v>
      </c>
      <c r="M169" s="1386"/>
    </row>
    <row r="170" spans="1:13">
      <c r="A170" s="1352"/>
      <c r="B170" s="1340">
        <v>4</v>
      </c>
      <c r="C170" s="1350">
        <v>166329.83000000002</v>
      </c>
      <c r="D170" s="1350">
        <v>77.59</v>
      </c>
      <c r="E170" s="1350">
        <v>103.66</v>
      </c>
      <c r="F170" s="1350">
        <v>0</v>
      </c>
      <c r="G170" s="1350">
        <v>166511.08000000002</v>
      </c>
      <c r="H170" s="1386"/>
      <c r="I170" s="1358">
        <v>2214471230.2599988</v>
      </c>
      <c r="J170" s="1341">
        <v>3181592.047909481</v>
      </c>
      <c r="K170" s="1341">
        <v>285740524.45429599</v>
      </c>
      <c r="L170" s="1347">
        <v>1928730705.8057027</v>
      </c>
      <c r="M170" s="1386"/>
    </row>
    <row r="171" spans="1:13">
      <c r="A171" s="1352"/>
      <c r="B171" s="1340">
        <v>5</v>
      </c>
      <c r="C171" s="1350">
        <v>61974.900000000009</v>
      </c>
      <c r="D171" s="1350">
        <v>58.99</v>
      </c>
      <c r="E171" s="1350">
        <v>121.71000000000001</v>
      </c>
      <c r="F171" s="1350">
        <v>0</v>
      </c>
      <c r="G171" s="1350">
        <v>62155.600000000006</v>
      </c>
      <c r="H171" s="1386"/>
      <c r="I171" s="1358">
        <v>2214533205.1599989</v>
      </c>
      <c r="J171" s="1341">
        <v>3181756.0599281588</v>
      </c>
      <c r="K171" s="1341">
        <v>288922280.51422417</v>
      </c>
      <c r="L171" s="1347">
        <v>1925610924.6457748</v>
      </c>
      <c r="M171" s="1386"/>
    </row>
    <row r="172" spans="1:13">
      <c r="A172" s="1352"/>
      <c r="B172" s="1340">
        <v>6</v>
      </c>
      <c r="C172" s="1350">
        <v>-3754998.33</v>
      </c>
      <c r="D172" s="1350">
        <v>3974958.5600000005</v>
      </c>
      <c r="E172" s="1350">
        <v>159838.97</v>
      </c>
      <c r="F172" s="1350">
        <v>0</v>
      </c>
      <c r="G172" s="1350">
        <v>379799.20000000042</v>
      </c>
      <c r="H172" s="1386"/>
      <c r="I172" s="1358">
        <v>2210778206.829999</v>
      </c>
      <c r="J172" s="1341">
        <v>3179103.0258548837</v>
      </c>
      <c r="K172" s="1341">
        <v>292101383.54007906</v>
      </c>
      <c r="L172" s="1347">
        <v>1918676823.2899199</v>
      </c>
      <c r="M172" s="1386"/>
    </row>
    <row r="173" spans="1:13">
      <c r="A173" s="1352"/>
      <c r="B173" s="1340">
        <v>7</v>
      </c>
      <c r="C173" s="1350">
        <v>2410198.16</v>
      </c>
      <c r="D173" s="1350">
        <v>136.03</v>
      </c>
      <c r="E173" s="1350">
        <v>30.580000000000002</v>
      </c>
      <c r="F173" s="1350">
        <v>0</v>
      </c>
      <c r="G173" s="1350">
        <v>2410364.77</v>
      </c>
      <c r="H173" s="1386"/>
      <c r="I173" s="1358">
        <v>2213188404.9899988</v>
      </c>
      <c r="J173" s="1341">
        <v>3178136.9337787339</v>
      </c>
      <c r="K173" s="1341">
        <v>295279520.47385782</v>
      </c>
      <c r="L173" s="1347">
        <v>1917908884.5161409</v>
      </c>
      <c r="M173" s="1386"/>
    </row>
    <row r="174" spans="1:13">
      <c r="A174" s="1352"/>
      <c r="B174" s="1340">
        <v>8</v>
      </c>
      <c r="C174" s="1350">
        <v>160517.45000000004</v>
      </c>
      <c r="D174" s="1350">
        <v>99.58</v>
      </c>
      <c r="E174" s="1350">
        <v>878.15000000000009</v>
      </c>
      <c r="F174" s="1350">
        <v>0</v>
      </c>
      <c r="G174" s="1350">
        <v>161495.18000000002</v>
      </c>
      <c r="H174" s="1386"/>
      <c r="I174" s="1358">
        <v>2213348922.4399986</v>
      </c>
      <c r="J174" s="1341">
        <v>3179983.7122341939</v>
      </c>
      <c r="K174" s="1341">
        <v>298459504.18609202</v>
      </c>
      <c r="L174" s="1347">
        <v>1914889418.2539067</v>
      </c>
      <c r="M174" s="1386"/>
    </row>
    <row r="175" spans="1:13">
      <c r="A175" s="1352"/>
      <c r="B175" s="1340">
        <v>9</v>
      </c>
      <c r="C175" s="1350">
        <v>65522.63</v>
      </c>
      <c r="D175" s="1350">
        <v>-1252</v>
      </c>
      <c r="E175" s="1350">
        <v>284.14999999999998</v>
      </c>
      <c r="F175" s="1350">
        <v>0</v>
      </c>
      <c r="G175" s="1350">
        <v>64554.78</v>
      </c>
      <c r="H175" s="1386"/>
      <c r="I175" s="1358">
        <v>2213414445.0699987</v>
      </c>
      <c r="J175" s="1341">
        <v>3180146.0973491357</v>
      </c>
      <c r="K175" s="1341">
        <v>301639650.28344113</v>
      </c>
      <c r="L175" s="1347">
        <v>1911774794.7865577</v>
      </c>
      <c r="M175" s="1386"/>
    </row>
    <row r="176" spans="1:13">
      <c r="A176" s="1352"/>
      <c r="B176" s="1340">
        <v>10</v>
      </c>
      <c r="C176" s="1350">
        <v>34026.01</v>
      </c>
      <c r="D176" s="1350">
        <v>30.56</v>
      </c>
      <c r="E176" s="1350">
        <v>481.51</v>
      </c>
      <c r="F176" s="1350">
        <v>0</v>
      </c>
      <c r="G176" s="1350">
        <v>34538.080000000002</v>
      </c>
      <c r="H176" s="1386"/>
      <c r="I176" s="1358">
        <v>2213448471.079999</v>
      </c>
      <c r="J176" s="1341">
        <v>3180217.6121767224</v>
      </c>
      <c r="K176" s="1341">
        <v>304819867.89561784</v>
      </c>
      <c r="L176" s="1347">
        <v>1908628603.184381</v>
      </c>
      <c r="M176" s="1386"/>
    </row>
    <row r="177" spans="1:13">
      <c r="A177" s="1352"/>
      <c r="B177" s="1340">
        <v>11</v>
      </c>
      <c r="C177" s="1350">
        <v>25403.240000000005</v>
      </c>
      <c r="D177" s="1350">
        <v>54.66</v>
      </c>
      <c r="E177" s="1350">
        <v>69.33</v>
      </c>
      <c r="F177" s="1350">
        <v>0</v>
      </c>
      <c r="G177" s="1350">
        <v>25527.230000000007</v>
      </c>
      <c r="H177" s="1386"/>
      <c r="I177" s="1358">
        <v>2213473874.3199987</v>
      </c>
      <c r="J177" s="1341">
        <v>3180260.3056034464</v>
      </c>
      <c r="K177" s="1341">
        <v>308000128.20122129</v>
      </c>
      <c r="L177" s="1347">
        <v>1905473746.1187775</v>
      </c>
      <c r="M177" s="1386"/>
    </row>
    <row r="178" spans="1:13">
      <c r="A178" s="1352"/>
      <c r="B178" s="1340">
        <v>12</v>
      </c>
      <c r="C178" s="1350">
        <v>25829.260000000002</v>
      </c>
      <c r="D178" s="1350">
        <v>0.28000000000000003</v>
      </c>
      <c r="E178" s="1350">
        <v>84.94</v>
      </c>
      <c r="F178" s="1350">
        <v>0</v>
      </c>
      <c r="G178" s="1350">
        <v>25914.48</v>
      </c>
      <c r="H178" s="1386"/>
      <c r="I178" s="1359">
        <v>2213499703.579999</v>
      </c>
      <c r="J178" s="1341">
        <v>3180297.1105603427</v>
      </c>
      <c r="K178" s="1341">
        <v>311180425.31178164</v>
      </c>
      <c r="L178" s="1347">
        <v>1902319278.2682173</v>
      </c>
      <c r="M178" s="1349">
        <v>1921488941.8602524</v>
      </c>
    </row>
    <row r="179" spans="1:13">
      <c r="A179" s="1351">
        <v>2023</v>
      </c>
      <c r="B179" s="1340">
        <v>1</v>
      </c>
      <c r="C179" s="1350">
        <v>173502.94000000137</v>
      </c>
      <c r="D179" s="1350">
        <v>0</v>
      </c>
      <c r="E179" s="1350">
        <v>16.829999999999998</v>
      </c>
      <c r="F179" s="1350">
        <v>0</v>
      </c>
      <c r="G179" s="1350">
        <v>173519.77000000136</v>
      </c>
      <c r="H179" s="1352"/>
      <c r="I179" s="1358">
        <v>2213673206.519999</v>
      </c>
      <c r="J179" s="1341">
        <v>3180440.3089798838</v>
      </c>
      <c r="K179" s="1341">
        <v>314360865.62076151</v>
      </c>
      <c r="L179" s="1347">
        <v>1899312340.8992376</v>
      </c>
      <c r="M179" s="1341"/>
    </row>
    <row r="180" spans="1:13">
      <c r="A180" s="1352"/>
      <c r="B180" s="1340">
        <v>2</v>
      </c>
      <c r="C180" s="1350">
        <v>9188.7499999987376</v>
      </c>
      <c r="D180" s="1350">
        <v>0</v>
      </c>
      <c r="E180" s="1350">
        <v>290.64</v>
      </c>
      <c r="F180" s="1350">
        <v>0</v>
      </c>
      <c r="G180" s="1350">
        <v>9479.389999998737</v>
      </c>
      <c r="H180" s="1386"/>
      <c r="I180" s="1358">
        <v>2213682395.269999</v>
      </c>
      <c r="J180" s="1341">
        <v>3180571.5530100558</v>
      </c>
      <c r="K180" s="1341">
        <v>317541437.17377156</v>
      </c>
      <c r="L180" s="1347">
        <v>1896140958.0962274</v>
      </c>
      <c r="M180" s="1352"/>
    </row>
    <row r="181" spans="1:13">
      <c r="A181" s="1352"/>
      <c r="B181" s="1340">
        <v>3</v>
      </c>
      <c r="C181" s="1350">
        <v>40062.280000000625</v>
      </c>
      <c r="D181" s="1350">
        <v>0</v>
      </c>
      <c r="E181" s="1350">
        <v>145.91</v>
      </c>
      <c r="F181" s="1350">
        <v>0</v>
      </c>
      <c r="G181" s="1350">
        <v>40208.190000000628</v>
      </c>
      <c r="H181" s="1386"/>
      <c r="I181" s="1358">
        <v>2213722457.5499992</v>
      </c>
      <c r="J181" s="1341">
        <v>3180606.934497125</v>
      </c>
      <c r="K181" s="1341">
        <v>320722044.10826868</v>
      </c>
      <c r="L181" s="1347">
        <v>1893000413.4417305</v>
      </c>
      <c r="M181" s="1386"/>
    </row>
    <row r="182" spans="1:13">
      <c r="A182" s="1352"/>
      <c r="B182" s="1340">
        <v>4</v>
      </c>
      <c r="C182" s="1350">
        <v>25050.740000001177</v>
      </c>
      <c r="D182" s="1350">
        <v>0</v>
      </c>
      <c r="E182" s="1350">
        <v>2.09</v>
      </c>
      <c r="F182" s="1350">
        <v>0</v>
      </c>
      <c r="G182" s="1350">
        <v>25052.830000001177</v>
      </c>
      <c r="H182" s="1386"/>
      <c r="I182" s="1358">
        <v>2213747508.289999</v>
      </c>
      <c r="J182" s="1341">
        <v>3180653.7110919529</v>
      </c>
      <c r="K182" s="1341">
        <v>323902697.81936061</v>
      </c>
      <c r="L182" s="1347">
        <v>1889844810.4706383</v>
      </c>
      <c r="M182" s="1386"/>
    </row>
    <row r="183" spans="1:13">
      <c r="A183" s="1352"/>
      <c r="B183" s="1340">
        <v>5</v>
      </c>
      <c r="C183" s="1350">
        <v>20268.37999999971</v>
      </c>
      <c r="D183" s="1350">
        <v>4928.9100000000008</v>
      </c>
      <c r="E183" s="1350">
        <v>18865.629999999997</v>
      </c>
      <c r="F183" s="1350">
        <v>0</v>
      </c>
      <c r="G183" s="1350">
        <v>44062.919999999707</v>
      </c>
      <c r="H183" s="1386"/>
      <c r="I183" s="1358">
        <v>2213767776.6699991</v>
      </c>
      <c r="J183" s="1341">
        <v>3180686.2679310329</v>
      </c>
      <c r="K183" s="1341">
        <v>327083384.08729166</v>
      </c>
      <c r="L183" s="1347">
        <v>1886684392.5827074</v>
      </c>
      <c r="M183" s="1386"/>
    </row>
    <row r="184" spans="1:13">
      <c r="A184" s="1352"/>
      <c r="B184" s="1340">
        <v>6</v>
      </c>
      <c r="C184" s="1350">
        <v>16718072.589999998</v>
      </c>
      <c r="D184" s="1350">
        <v>-32654.55</v>
      </c>
      <c r="E184" s="1350">
        <v>4034950.7199999997</v>
      </c>
      <c r="F184" s="1350">
        <v>0</v>
      </c>
      <c r="G184" s="1350">
        <v>20720368.759999998</v>
      </c>
      <c r="H184" s="1386"/>
      <c r="I184" s="1358">
        <v>2230485849.2599993</v>
      </c>
      <c r="J184" s="1341">
        <v>3192710.9381681019</v>
      </c>
      <c r="K184" s="1341">
        <v>330276095.02545977</v>
      </c>
      <c r="L184" s="1347">
        <v>1900209754.2345395</v>
      </c>
      <c r="M184" s="1386"/>
    </row>
    <row r="185" spans="1:13">
      <c r="A185" s="1352"/>
      <c r="B185" s="1340">
        <v>7</v>
      </c>
      <c r="C185" s="1350">
        <v>86993.219999999361</v>
      </c>
      <c r="D185" s="1350">
        <v>-36254.589999999989</v>
      </c>
      <c r="E185" s="1350">
        <v>-716319.09999999986</v>
      </c>
      <c r="F185" s="1350">
        <v>0</v>
      </c>
      <c r="G185" s="1350">
        <v>-665580.47000000044</v>
      </c>
      <c r="H185" s="1386"/>
      <c r="I185" s="1358">
        <v>2230572842.4799991</v>
      </c>
      <c r="J185" s="1341">
        <v>3204783.5429166658</v>
      </c>
      <c r="K185" s="1341">
        <v>333480878.56837642</v>
      </c>
      <c r="L185" s="1347">
        <v>1897091963.9116225</v>
      </c>
      <c r="M185" s="1386"/>
    </row>
    <row r="186" spans="1:13">
      <c r="A186" s="1352"/>
      <c r="B186" s="1340">
        <v>8</v>
      </c>
      <c r="C186" s="1350">
        <v>-902518.99999999825</v>
      </c>
      <c r="D186" s="1350">
        <v>68912.929999999993</v>
      </c>
      <c r="E186" s="1350">
        <v>973568.02</v>
      </c>
      <c r="F186" s="1350">
        <v>0</v>
      </c>
      <c r="G186" s="1350">
        <v>139961.95000000182</v>
      </c>
      <c r="H186" s="1386"/>
      <c r="I186" s="1358">
        <v>2229670323.4799991</v>
      </c>
      <c r="J186" s="1341">
        <v>3204197.6766954013</v>
      </c>
      <c r="K186" s="1341">
        <v>336685076.24507183</v>
      </c>
      <c r="L186" s="1347">
        <v>1892985247.2349272</v>
      </c>
      <c r="M186" s="1386"/>
    </row>
    <row r="187" spans="1:13">
      <c r="A187" s="1352"/>
      <c r="B187" s="1340">
        <v>9</v>
      </c>
      <c r="C187" s="1350">
        <v>337856.01999999955</v>
      </c>
      <c r="D187" s="1350">
        <v>0</v>
      </c>
      <c r="E187" s="1350">
        <v>-972068.04999999993</v>
      </c>
      <c r="F187" s="1350">
        <v>0</v>
      </c>
      <c r="G187" s="1350">
        <v>-634212.03000000038</v>
      </c>
      <c r="H187" s="1386"/>
      <c r="I187" s="1358">
        <v>2230008179.499999</v>
      </c>
      <c r="J187" s="1341">
        <v>3203792.0280028721</v>
      </c>
      <c r="K187" s="1341">
        <v>339888868.27307469</v>
      </c>
      <c r="L187" s="1347">
        <v>1890119311.2269244</v>
      </c>
      <c r="M187" s="1386"/>
    </row>
    <row r="188" spans="1:13">
      <c r="A188" s="1352"/>
      <c r="B188" s="1340">
        <v>10</v>
      </c>
      <c r="C188" s="1350">
        <v>370753.02999999997</v>
      </c>
      <c r="D188" s="1350">
        <v>0</v>
      </c>
      <c r="E188" s="1350">
        <v>-1418196.8</v>
      </c>
      <c r="F188" s="1350">
        <v>0</v>
      </c>
      <c r="G188" s="1350">
        <v>-1047443.77</v>
      </c>
      <c r="H188" s="1386"/>
      <c r="I188" s="1358">
        <v>2230378932.5299993</v>
      </c>
      <c r="J188" s="1341">
        <v>3204301.0862284466</v>
      </c>
      <c r="K188" s="1341">
        <v>343093169.35930312</v>
      </c>
      <c r="L188" s="1347">
        <v>1887285763.1706963</v>
      </c>
      <c r="M188" s="1386"/>
    </row>
    <row r="189" spans="1:13">
      <c r="A189" s="1352"/>
      <c r="B189" s="1340">
        <v>11</v>
      </c>
      <c r="C189" s="1350">
        <v>1053924.1199999992</v>
      </c>
      <c r="D189" s="1350">
        <v>0</v>
      </c>
      <c r="E189" s="1350">
        <v>-245452.05</v>
      </c>
      <c r="F189" s="1350">
        <v>0</v>
      </c>
      <c r="G189" s="1350">
        <v>808472.06999999913</v>
      </c>
      <c r="H189" s="1386"/>
      <c r="I189" s="1358">
        <v>2231432856.6499991</v>
      </c>
      <c r="J189" s="1341">
        <v>3205324.5611925279</v>
      </c>
      <c r="K189" s="1341">
        <v>346298493.92049563</v>
      </c>
      <c r="L189" s="1347">
        <v>1885134362.7295036</v>
      </c>
      <c r="M189" s="1386"/>
    </row>
    <row r="190" spans="1:13" s="1529" customFormat="1">
      <c r="A190" s="1821"/>
      <c r="B190" s="1340">
        <v>12</v>
      </c>
      <c r="C190" s="1350">
        <v>18267730.280000012</v>
      </c>
      <c r="D190" s="1350">
        <v>34579.06</v>
      </c>
      <c r="E190" s="1350">
        <v>3855.3899999999894</v>
      </c>
      <c r="F190" s="1350">
        <v>0</v>
      </c>
      <c r="G190" s="1350">
        <v>18306164.730000012</v>
      </c>
      <c r="H190" s="1823"/>
      <c r="I190" s="1359">
        <v>2249700586.9299994</v>
      </c>
      <c r="J190" s="1341">
        <v>3219205.0600431021</v>
      </c>
      <c r="K190" s="1341">
        <v>349517698.98053873</v>
      </c>
      <c r="L190" s="1348">
        <v>1900182887.9494605</v>
      </c>
      <c r="M190" s="1349">
        <v>1893870114.1704946</v>
      </c>
    </row>
    <row r="191" spans="1:13">
      <c r="A191" s="1351">
        <v>2024</v>
      </c>
      <c r="B191" s="1340">
        <v>1</v>
      </c>
      <c r="C191" s="1725">
        <v>358441.92</v>
      </c>
      <c r="D191" s="1725"/>
      <c r="E191" s="1725">
        <v>247.15000000000003</v>
      </c>
      <c r="F191" s="1725">
        <v>0</v>
      </c>
      <c r="G191" s="1725">
        <v>358689.07</v>
      </c>
      <c r="H191" s="1352"/>
      <c r="I191" s="1358">
        <f>SUM(C$11:C191)</f>
        <v>2250059028.8499994</v>
      </c>
      <c r="J191" s="1341">
        <f>+C191*J$8*0.5+J$8*I190</f>
        <v>2862442.5036768438</v>
      </c>
      <c r="K191" s="1341">
        <f>J191+K190</f>
        <v>352380141.48421556</v>
      </c>
      <c r="L191" s="1347">
        <f>+I191-K191</f>
        <v>1897678887.3657839</v>
      </c>
      <c r="M191" s="1341"/>
    </row>
    <row r="192" spans="1:13">
      <c r="A192" s="1352"/>
      <c r="B192" s="1340">
        <v>2</v>
      </c>
      <c r="C192" s="1725">
        <v>-99082.28</v>
      </c>
      <c r="D192" s="1725">
        <v>22394.230000000003</v>
      </c>
      <c r="E192" s="1725">
        <v>-79001.17</v>
      </c>
      <c r="F192" s="1725">
        <v>0</v>
      </c>
      <c r="G192" s="1725">
        <v>-155689.22</v>
      </c>
      <c r="H192" s="1386"/>
      <c r="I192" s="1358">
        <f>SUM(C$11:C192)</f>
        <v>2249959946.5699992</v>
      </c>
      <c r="J192" s="1341">
        <f t="shared" ref="J192:J193" si="0">+C192*J$8*0.5+J$8*I191</f>
        <v>2862607.4907251899</v>
      </c>
      <c r="K192" s="1341">
        <f t="shared" ref="K192:K193" si="1">J192+K191</f>
        <v>355242748.97494078</v>
      </c>
      <c r="L192" s="1347">
        <f t="shared" ref="L192:L202" si="2">+I192-K192</f>
        <v>1894717197.5950584</v>
      </c>
      <c r="M192" s="1352"/>
    </row>
    <row r="193" spans="1:13">
      <c r="A193" s="1352"/>
      <c r="B193" s="1340">
        <v>3</v>
      </c>
      <c r="C193" s="1725">
        <v>4969520.5199999996</v>
      </c>
      <c r="D193" s="1725">
        <v>8993.7900000000009</v>
      </c>
      <c r="E193" s="1725">
        <v>13538.580000000002</v>
      </c>
      <c r="F193" s="1725">
        <v>0</v>
      </c>
      <c r="G193" s="1725">
        <v>4992052.8899999997</v>
      </c>
      <c r="H193" s="1386"/>
      <c r="I193" s="1358">
        <f>SUM(C$11:C193)</f>
        <v>2254929467.0899992</v>
      </c>
      <c r="J193" s="1341">
        <f t="shared" si="0"/>
        <v>2865705.7338804062</v>
      </c>
      <c r="K193" s="1341">
        <f t="shared" si="1"/>
        <v>358108454.70882118</v>
      </c>
      <c r="L193" s="1347">
        <f t="shared" si="2"/>
        <v>1896821012.3811779</v>
      </c>
      <c r="M193" s="1386"/>
    </row>
    <row r="194" spans="1:13">
      <c r="A194" s="1352"/>
      <c r="B194" s="1340">
        <v>4</v>
      </c>
      <c r="C194" s="1725">
        <v>3342297.8500000006</v>
      </c>
      <c r="D194" s="1725"/>
      <c r="E194" s="1725">
        <v>8.99</v>
      </c>
      <c r="F194" s="1725">
        <v>0</v>
      </c>
      <c r="G194" s="1725">
        <v>3342306.8400000008</v>
      </c>
      <c r="H194" s="1386"/>
      <c r="I194" s="1358">
        <f>SUM(C$11:C194)</f>
        <v>2258271764.9399991</v>
      </c>
      <c r="J194" s="1341">
        <f>+C194*J$8*0.5+J$8*I193</f>
        <v>2870993.1501463093</v>
      </c>
      <c r="K194" s="1341">
        <f>J194+K193</f>
        <v>360979447.85896748</v>
      </c>
      <c r="L194" s="1347">
        <f t="shared" si="2"/>
        <v>1897292317.0810316</v>
      </c>
      <c r="M194" s="1386"/>
    </row>
    <row r="195" spans="1:13">
      <c r="A195" s="1352"/>
      <c r="B195" s="1340">
        <v>5</v>
      </c>
      <c r="C195" s="1725">
        <v>-520980.03</v>
      </c>
      <c r="D195" s="1725"/>
      <c r="E195" s="1725">
        <v>640637.89999999991</v>
      </c>
      <c r="F195" s="1725">
        <v>0</v>
      </c>
      <c r="G195" s="1725">
        <v>119657.87</v>
      </c>
      <c r="H195" s="1386"/>
      <c r="I195" s="1358">
        <f>SUM(C$11:C195)</f>
        <v>2257750784.9099989</v>
      </c>
      <c r="J195" s="1341">
        <f t="shared" ref="J195:J202" si="3">+C195*J$8*0.5+J$8*I194</f>
        <v>2872787.8815839677</v>
      </c>
      <c r="K195" s="1341">
        <f t="shared" ref="K195:K202" si="4">J195+K194</f>
        <v>363852235.74055147</v>
      </c>
      <c r="L195" s="1347">
        <f t="shared" si="2"/>
        <v>1893898549.1694474</v>
      </c>
      <c r="M195" s="1386"/>
    </row>
    <row r="196" spans="1:13">
      <c r="A196" s="1352"/>
      <c r="B196" s="1340">
        <v>6</v>
      </c>
      <c r="C196" s="1725">
        <v>10579175.73</v>
      </c>
      <c r="D196" s="1725"/>
      <c r="E196" s="1725">
        <v>-326271.06999999995</v>
      </c>
      <c r="F196" s="1725">
        <v>0</v>
      </c>
      <c r="G196" s="1725">
        <v>10252904.66</v>
      </c>
      <c r="H196" s="1386"/>
      <c r="I196" s="1358">
        <f>SUM(C$11:C196)</f>
        <v>2268329960.6399989</v>
      </c>
      <c r="J196" s="1341">
        <f t="shared" si="3"/>
        <v>2879186.2249045786</v>
      </c>
      <c r="K196" s="1341">
        <f t="shared" si="4"/>
        <v>366731421.96545607</v>
      </c>
      <c r="L196" s="1347">
        <f t="shared" si="2"/>
        <v>1901598538.6745429</v>
      </c>
      <c r="M196" s="1386"/>
    </row>
    <row r="197" spans="1:13">
      <c r="A197" s="1352"/>
      <c r="B197" s="1340">
        <v>7</v>
      </c>
      <c r="C197" s="1725">
        <v>817306.41</v>
      </c>
      <c r="D197" s="1725"/>
      <c r="E197" s="1725">
        <v>-382676.04000000015</v>
      </c>
      <c r="F197" s="1725">
        <v>0</v>
      </c>
      <c r="G197" s="1725">
        <v>434630.37</v>
      </c>
      <c r="H197" s="1386"/>
      <c r="I197" s="1358">
        <f>SUM(C$11:C197)</f>
        <v>2269147267.0499988</v>
      </c>
      <c r="J197" s="1341">
        <f t="shared" si="3"/>
        <v>2886435.8954770975</v>
      </c>
      <c r="K197" s="1341">
        <f t="shared" si="4"/>
        <v>369617857.86093318</v>
      </c>
      <c r="L197" s="1347">
        <f t="shared" si="2"/>
        <v>1899529409.1890655</v>
      </c>
      <c r="M197" s="1386"/>
    </row>
    <row r="198" spans="1:13">
      <c r="A198" s="1352"/>
      <c r="B198" s="1340">
        <v>8</v>
      </c>
      <c r="C198" s="1725">
        <v>37703746.859999999</v>
      </c>
      <c r="D198" s="1725">
        <v>425809.46000000008</v>
      </c>
      <c r="E198" s="1725">
        <v>2349046.38</v>
      </c>
      <c r="F198" s="1725">
        <v>0</v>
      </c>
      <c r="G198" s="1725">
        <v>40478602.700000003</v>
      </c>
      <c r="H198" s="1386"/>
      <c r="I198" s="1358">
        <f>SUM(C$11:C198)</f>
        <v>2306851013.9099989</v>
      </c>
      <c r="J198" s="1341">
        <f t="shared" si="3"/>
        <v>2910940.3822900746</v>
      </c>
      <c r="K198" s="1341">
        <f t="shared" si="4"/>
        <v>372528798.24322325</v>
      </c>
      <c r="L198" s="1347">
        <f t="shared" si="2"/>
        <v>1934322215.6667757</v>
      </c>
      <c r="M198" s="1386"/>
    </row>
    <row r="199" spans="1:13">
      <c r="A199" s="1352"/>
      <c r="B199" s="1340">
        <v>9</v>
      </c>
      <c r="C199" s="1725">
        <v>38763024.429999992</v>
      </c>
      <c r="D199" s="1725">
        <v>-7218.39</v>
      </c>
      <c r="E199" s="1725">
        <v>870565.82000000007</v>
      </c>
      <c r="F199" s="1725">
        <v>0</v>
      </c>
      <c r="G199" s="1725">
        <v>39626371.859999992</v>
      </c>
      <c r="H199" s="1386"/>
      <c r="I199" s="1358">
        <f>SUM(C$11:C199)</f>
        <v>2345614038.3399987</v>
      </c>
      <c r="J199" s="1341">
        <f t="shared" si="3"/>
        <v>2959583.3665712452</v>
      </c>
      <c r="K199" s="1341">
        <f t="shared" si="4"/>
        <v>375488381.6097945</v>
      </c>
      <c r="L199" s="1347">
        <f t="shared" si="2"/>
        <v>1970125656.7302041</v>
      </c>
      <c r="M199" s="1386"/>
    </row>
    <row r="200" spans="1:13">
      <c r="A200" s="1352"/>
      <c r="B200" s="1340">
        <v>10</v>
      </c>
      <c r="C200" s="1725">
        <v>176524612.5699999</v>
      </c>
      <c r="D200" s="1725">
        <v>92464.919999999984</v>
      </c>
      <c r="E200" s="1725">
        <v>953513.97</v>
      </c>
      <c r="F200" s="1725">
        <v>0</v>
      </c>
      <c r="G200" s="1725">
        <v>177570591.45999989</v>
      </c>
      <c r="H200" s="1386"/>
      <c r="I200" s="1358">
        <f>SUM(C$11:C200)</f>
        <v>2522138650.9099984</v>
      </c>
      <c r="J200" s="1341">
        <f t="shared" si="3"/>
        <v>3096534.7895992342</v>
      </c>
      <c r="K200" s="1341">
        <f t="shared" si="4"/>
        <v>378584916.39939374</v>
      </c>
      <c r="L200" s="1347">
        <f t="shared" si="2"/>
        <v>2143553734.5106046</v>
      </c>
      <c r="M200" s="1386"/>
    </row>
    <row r="201" spans="1:13">
      <c r="A201" s="1352"/>
      <c r="B201" s="1340">
        <v>11</v>
      </c>
      <c r="C201" s="1725">
        <v>2048451125.9500003</v>
      </c>
      <c r="D201" s="1725">
        <v>1053.1299999999953</v>
      </c>
      <c r="E201" s="1725">
        <v>12270901.079999998</v>
      </c>
      <c r="F201" s="1725">
        <v>0</v>
      </c>
      <c r="G201" s="1725">
        <v>2060723080.1600003</v>
      </c>
      <c r="H201" s="1386"/>
      <c r="I201" s="1358">
        <f>SUM(C$11:C201)</f>
        <v>4570589776.8599987</v>
      </c>
      <c r="J201" s="1341">
        <f t="shared" si="3"/>
        <v>4511913.7581234071</v>
      </c>
      <c r="K201" s="1341">
        <f t="shared" si="4"/>
        <v>383096830.15751714</v>
      </c>
      <c r="L201" s="1347">
        <f t="shared" si="2"/>
        <v>4187492946.7024817</v>
      </c>
      <c r="M201" s="1386"/>
    </row>
    <row r="202" spans="1:13" s="1529" customFormat="1">
      <c r="A202" s="1821"/>
      <c r="B202" s="1340">
        <v>12</v>
      </c>
      <c r="C202" s="1725">
        <v>196383993.51000017</v>
      </c>
      <c r="D202" s="1725">
        <v>-5380.7499999999982</v>
      </c>
      <c r="E202" s="1725">
        <v>1513184.8100000003</v>
      </c>
      <c r="F202" s="1725">
        <v>0</v>
      </c>
      <c r="G202" s="1725">
        <v>197891797.57000017</v>
      </c>
      <c r="H202" s="1823"/>
      <c r="I202" s="1359">
        <f>SUM(C$11:C202)</f>
        <v>4766973770.3699989</v>
      </c>
      <c r="J202" s="1341">
        <f t="shared" si="3"/>
        <v>5939925.9206297696</v>
      </c>
      <c r="K202" s="1341">
        <f t="shared" si="4"/>
        <v>389036756.07814693</v>
      </c>
      <c r="L202" s="1348">
        <f t="shared" si="2"/>
        <v>4377937014.291852</v>
      </c>
      <c r="M202" s="1349">
        <f>SUM(L190:L202)/13</f>
        <v>2291934643.6390376</v>
      </c>
    </row>
    <row r="203" spans="1:13">
      <c r="A203" s="1351">
        <v>2025</v>
      </c>
      <c r="B203" s="1340">
        <v>1</v>
      </c>
      <c r="C203" s="1725"/>
      <c r="D203" s="1725">
        <v>0</v>
      </c>
      <c r="E203" s="1725">
        <v>0</v>
      </c>
      <c r="F203" s="1725">
        <v>0</v>
      </c>
      <c r="G203" s="1725">
        <v>0</v>
      </c>
      <c r="H203" s="1352"/>
      <c r="I203" s="1358">
        <f>SUM(C$11:C203)</f>
        <v>4766973770.3699989</v>
      </c>
      <c r="J203" s="1341">
        <f>+C203*J$8*0.5+J$8*I202</f>
        <v>6064852.1251526698</v>
      </c>
      <c r="K203" s="1341">
        <f>J203+K202</f>
        <v>395101608.20329958</v>
      </c>
      <c r="L203" s="1347">
        <f>+I203-K203</f>
        <v>4371872162.1666994</v>
      </c>
      <c r="M203" s="1341"/>
    </row>
    <row r="204" spans="1:13">
      <c r="A204" s="1352"/>
      <c r="B204" s="1340">
        <v>2</v>
      </c>
      <c r="C204" s="1725">
        <v>0</v>
      </c>
      <c r="D204" s="1725">
        <v>0</v>
      </c>
      <c r="E204" s="1725">
        <v>0</v>
      </c>
      <c r="F204" s="1725">
        <v>0</v>
      </c>
      <c r="G204" s="1725">
        <v>0</v>
      </c>
      <c r="H204" s="1386"/>
      <c r="I204" s="1358">
        <f>SUM(C$11:C204)</f>
        <v>4766973770.3699989</v>
      </c>
      <c r="J204" s="1341">
        <f t="shared" ref="J204:J205" si="5">+C204*J$8*0.5+J$8*I203</f>
        <v>6064852.1251526698</v>
      </c>
      <c r="K204" s="1341">
        <f t="shared" ref="K204:K205" si="6">J204+K203</f>
        <v>401166460.32845223</v>
      </c>
      <c r="L204" s="1347">
        <f t="shared" ref="L204:L214" si="7">+I204-K204</f>
        <v>4365807310.0415468</v>
      </c>
      <c r="M204" s="1352"/>
    </row>
    <row r="205" spans="1:13">
      <c r="A205" s="1352"/>
      <c r="B205" s="1340">
        <v>3</v>
      </c>
      <c r="C205" s="1725">
        <v>0</v>
      </c>
      <c r="D205" s="1725">
        <v>0</v>
      </c>
      <c r="E205" s="1725">
        <v>0</v>
      </c>
      <c r="F205" s="1725">
        <v>0</v>
      </c>
      <c r="G205" s="1725">
        <v>0</v>
      </c>
      <c r="H205" s="1386"/>
      <c r="I205" s="1358">
        <f>SUM(C$11:C205)</f>
        <v>4766973770.3699989</v>
      </c>
      <c r="J205" s="1341">
        <f t="shared" si="5"/>
        <v>6064852.1251526698</v>
      </c>
      <c r="K205" s="1341">
        <f t="shared" si="6"/>
        <v>407231312.45360488</v>
      </c>
      <c r="L205" s="1347">
        <f t="shared" si="7"/>
        <v>4359742457.9163942</v>
      </c>
      <c r="M205" s="1386"/>
    </row>
    <row r="206" spans="1:13">
      <c r="A206" s="1352"/>
      <c r="B206" s="1340">
        <v>4</v>
      </c>
      <c r="C206" s="1725">
        <v>0</v>
      </c>
      <c r="D206" s="1725">
        <v>0</v>
      </c>
      <c r="E206" s="1725">
        <v>0</v>
      </c>
      <c r="F206" s="1725">
        <v>0</v>
      </c>
      <c r="G206" s="1725">
        <v>0</v>
      </c>
      <c r="H206" s="1386"/>
      <c r="I206" s="1358">
        <f>SUM(C$11:C206)</f>
        <v>4766973770.3699989</v>
      </c>
      <c r="J206" s="1341">
        <f>+C206*J$8*0.5+J$8*I205</f>
        <v>6064852.1251526698</v>
      </c>
      <c r="K206" s="1341">
        <f>J206+K205</f>
        <v>413296164.57875752</v>
      </c>
      <c r="L206" s="1347">
        <f t="shared" si="7"/>
        <v>4353677605.7912416</v>
      </c>
      <c r="M206" s="1386"/>
    </row>
    <row r="207" spans="1:13">
      <c r="A207" s="1352"/>
      <c r="B207" s="1340">
        <v>5</v>
      </c>
      <c r="C207" s="1725">
        <v>0</v>
      </c>
      <c r="D207" s="1725">
        <v>0</v>
      </c>
      <c r="E207" s="1725">
        <v>0</v>
      </c>
      <c r="F207" s="1725">
        <v>0</v>
      </c>
      <c r="G207" s="1725">
        <v>0</v>
      </c>
      <c r="H207" s="1386"/>
      <c r="I207" s="1358">
        <f>SUM(C$11:C207)</f>
        <v>4766973770.3699989</v>
      </c>
      <c r="J207" s="1341">
        <f t="shared" ref="J207:J214" si="8">+C207*J$8*0.5+J$8*I206</f>
        <v>6064852.1251526698</v>
      </c>
      <c r="K207" s="1341">
        <f t="shared" ref="K207:K214" si="9">J207+K206</f>
        <v>419361016.70391017</v>
      </c>
      <c r="L207" s="1347">
        <f t="shared" si="7"/>
        <v>4347612753.6660891</v>
      </c>
      <c r="M207" s="1386"/>
    </row>
    <row r="208" spans="1:13">
      <c r="A208" s="1352"/>
      <c r="B208" s="1340">
        <v>6</v>
      </c>
      <c r="C208" s="1725">
        <v>0</v>
      </c>
      <c r="D208" s="1725">
        <v>0</v>
      </c>
      <c r="E208" s="1725">
        <v>0</v>
      </c>
      <c r="F208" s="1725">
        <v>0</v>
      </c>
      <c r="G208" s="1725">
        <v>0</v>
      </c>
      <c r="H208" s="1386"/>
      <c r="I208" s="1358">
        <f>SUM(C$11:C208)</f>
        <v>4766973770.3699989</v>
      </c>
      <c r="J208" s="1341">
        <f t="shared" si="8"/>
        <v>6064852.1251526698</v>
      </c>
      <c r="K208" s="1341">
        <f t="shared" si="9"/>
        <v>425425868.82906282</v>
      </c>
      <c r="L208" s="1347">
        <f t="shared" si="7"/>
        <v>4341547901.5409365</v>
      </c>
      <c r="M208" s="1386"/>
    </row>
    <row r="209" spans="1:13">
      <c r="A209" s="1352"/>
      <c r="B209" s="1340">
        <v>7</v>
      </c>
      <c r="C209" s="1725">
        <v>0</v>
      </c>
      <c r="D209" s="1725">
        <v>0</v>
      </c>
      <c r="E209" s="1725">
        <v>0</v>
      </c>
      <c r="F209" s="1725">
        <v>0</v>
      </c>
      <c r="G209" s="1725">
        <v>0</v>
      </c>
      <c r="H209" s="1386"/>
      <c r="I209" s="1358">
        <f>SUM(C$11:C209)</f>
        <v>4766973770.3699989</v>
      </c>
      <c r="J209" s="1341">
        <f t="shared" si="8"/>
        <v>6064852.1251526698</v>
      </c>
      <c r="K209" s="1341">
        <f t="shared" si="9"/>
        <v>431490720.95421547</v>
      </c>
      <c r="L209" s="1347">
        <f t="shared" si="7"/>
        <v>4335483049.4157839</v>
      </c>
      <c r="M209" s="1386"/>
    </row>
    <row r="210" spans="1:13">
      <c r="A210" s="1352"/>
      <c r="B210" s="1340">
        <v>8</v>
      </c>
      <c r="C210" s="1725">
        <v>0</v>
      </c>
      <c r="D210" s="1725">
        <v>0</v>
      </c>
      <c r="E210" s="1725">
        <v>0</v>
      </c>
      <c r="F210" s="1725">
        <v>0</v>
      </c>
      <c r="G210" s="1725">
        <v>0</v>
      </c>
      <c r="H210" s="1386"/>
      <c r="I210" s="1358">
        <f>SUM(C$11:C210)</f>
        <v>4766973770.3699989</v>
      </c>
      <c r="J210" s="1341">
        <f t="shared" si="8"/>
        <v>6064852.1251526698</v>
      </c>
      <c r="K210" s="1341">
        <f t="shared" si="9"/>
        <v>437555573.07936811</v>
      </c>
      <c r="L210" s="1347">
        <f t="shared" si="7"/>
        <v>4329418197.2906303</v>
      </c>
      <c r="M210" s="1386"/>
    </row>
    <row r="211" spans="1:13">
      <c r="A211" s="1352"/>
      <c r="B211" s="1340">
        <v>9</v>
      </c>
      <c r="C211" s="1725">
        <v>0</v>
      </c>
      <c r="D211" s="1725">
        <v>0</v>
      </c>
      <c r="E211" s="1725">
        <v>0</v>
      </c>
      <c r="F211" s="1725">
        <v>0</v>
      </c>
      <c r="G211" s="1725">
        <v>0</v>
      </c>
      <c r="H211" s="1386"/>
      <c r="I211" s="1358">
        <f>SUM(C$11:C211)</f>
        <v>4766973770.3699989</v>
      </c>
      <c r="J211" s="1341">
        <f t="shared" si="8"/>
        <v>6064852.1251526698</v>
      </c>
      <c r="K211" s="1341">
        <f t="shared" si="9"/>
        <v>443620425.20452076</v>
      </c>
      <c r="L211" s="1347">
        <f t="shared" si="7"/>
        <v>4323353345.1654778</v>
      </c>
      <c r="M211" s="1386"/>
    </row>
    <row r="212" spans="1:13">
      <c r="A212" s="1352"/>
      <c r="B212" s="1340">
        <v>10</v>
      </c>
      <c r="C212" s="1725">
        <v>0</v>
      </c>
      <c r="D212" s="1725">
        <v>0</v>
      </c>
      <c r="E212" s="1725">
        <v>0</v>
      </c>
      <c r="F212" s="1725">
        <v>0</v>
      </c>
      <c r="G212" s="1725">
        <v>0</v>
      </c>
      <c r="H212" s="1386"/>
      <c r="I212" s="1358">
        <f>SUM(C$11:C212)</f>
        <v>4766973770.3699989</v>
      </c>
      <c r="J212" s="1341">
        <f t="shared" si="8"/>
        <v>6064852.1251526698</v>
      </c>
      <c r="K212" s="1341">
        <f t="shared" si="9"/>
        <v>449685277.32967341</v>
      </c>
      <c r="L212" s="1347">
        <f t="shared" si="7"/>
        <v>4317288493.0403252</v>
      </c>
      <c r="M212" s="1386"/>
    </row>
    <row r="213" spans="1:13">
      <c r="A213" s="1352"/>
      <c r="B213" s="1340">
        <v>11</v>
      </c>
      <c r="C213" s="1725">
        <v>0</v>
      </c>
      <c r="D213" s="1725">
        <v>0</v>
      </c>
      <c r="E213" s="1725">
        <v>0</v>
      </c>
      <c r="F213" s="1725">
        <v>0</v>
      </c>
      <c r="G213" s="1725">
        <v>0</v>
      </c>
      <c r="H213" s="1386"/>
      <c r="I213" s="1358">
        <f>SUM(C$11:C213)</f>
        <v>4766973770.3699989</v>
      </c>
      <c r="J213" s="1341">
        <f t="shared" si="8"/>
        <v>6064852.1251526698</v>
      </c>
      <c r="K213" s="1341">
        <f t="shared" si="9"/>
        <v>455750129.45482606</v>
      </c>
      <c r="L213" s="1347">
        <f t="shared" si="7"/>
        <v>4311223640.9151726</v>
      </c>
      <c r="M213" s="1386"/>
    </row>
    <row r="214" spans="1:13" s="1529" customFormat="1">
      <c r="A214" s="1821"/>
      <c r="B214" s="1822">
        <v>12</v>
      </c>
      <c r="C214" s="1725">
        <v>0</v>
      </c>
      <c r="D214" s="1725">
        <v>0</v>
      </c>
      <c r="E214" s="1725">
        <v>0</v>
      </c>
      <c r="F214" s="1725">
        <v>0</v>
      </c>
      <c r="G214" s="1725">
        <v>0</v>
      </c>
      <c r="H214" s="1823"/>
      <c r="I214" s="1359">
        <f>SUM(C$11:C214)</f>
        <v>4766973770.3699989</v>
      </c>
      <c r="J214" s="1341">
        <f t="shared" si="8"/>
        <v>6064852.1251526698</v>
      </c>
      <c r="K214" s="1341">
        <f t="shared" si="9"/>
        <v>461814981.5799787</v>
      </c>
      <c r="L214" s="1348">
        <f t="shared" si="7"/>
        <v>4305158788.79002</v>
      </c>
      <c r="M214" s="1349">
        <f>SUM(L202:L214)/13</f>
        <v>4341547901.5409374</v>
      </c>
    </row>
  </sheetData>
  <pageMargins left="0.7" right="0.7" top="0.75" bottom="0.75" header="0.3" footer="0.3"/>
  <pageSetup orientation="portrait" horizontalDpi="1200" verticalDpi="1200"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A395C7"/>
    <pageSetUpPr fitToPage="1"/>
  </sheetPr>
  <dimension ref="A1:K67"/>
  <sheetViews>
    <sheetView workbookViewId="0">
      <selection activeCell="K4" sqref="K4"/>
    </sheetView>
  </sheetViews>
  <sheetFormatPr defaultRowHeight="15"/>
  <cols>
    <col min="1" max="1" width="2.85546875" customWidth="1"/>
    <col min="2" max="2" width="14" customWidth="1"/>
    <col min="3" max="3" width="42" customWidth="1"/>
    <col min="4" max="7" width="14" customWidth="1"/>
    <col min="8" max="8" width="17" customWidth="1"/>
    <col min="9" max="10" width="17.140625" customWidth="1"/>
    <col min="11" max="11" width="21.28515625" customWidth="1"/>
  </cols>
  <sheetData>
    <row r="1" spans="1:11">
      <c r="A1" s="1127"/>
      <c r="B1" s="1127"/>
      <c r="C1" s="1127"/>
      <c r="D1" s="1127"/>
      <c r="E1" s="1127"/>
      <c r="F1" s="1127"/>
      <c r="G1" s="1127"/>
      <c r="H1" s="1127"/>
      <c r="I1" s="1127"/>
      <c r="J1" s="1127"/>
      <c r="K1" s="1127"/>
    </row>
    <row r="2" spans="1:11">
      <c r="A2" s="1127"/>
      <c r="B2" s="494"/>
      <c r="C2" s="494"/>
      <c r="D2" s="100"/>
      <c r="E2" s="100"/>
      <c r="F2" s="1419"/>
      <c r="G2" s="1420"/>
      <c r="H2" s="100"/>
      <c r="I2" s="100"/>
      <c r="J2" s="100"/>
      <c r="K2" s="100"/>
    </row>
    <row r="3" spans="1:11">
      <c r="A3" s="1127"/>
      <c r="B3" s="1421" t="s">
        <v>1485</v>
      </c>
      <c r="C3" s="1421"/>
      <c r="D3" s="1421"/>
      <c r="E3" s="1421"/>
      <c r="F3" s="1421"/>
      <c r="G3" s="1421"/>
      <c r="H3" s="1421"/>
      <c r="I3" s="1809"/>
      <c r="J3" s="1809"/>
      <c r="K3" s="1422"/>
    </row>
    <row r="4" spans="1:11">
      <c r="A4" s="1423"/>
      <c r="B4" s="1423"/>
      <c r="C4" s="1423"/>
      <c r="D4" s="1423"/>
      <c r="E4" s="1423"/>
      <c r="F4" s="1423"/>
      <c r="G4" s="1423"/>
      <c r="H4" s="1423"/>
      <c r="I4" s="1424"/>
      <c r="J4" s="1424"/>
      <c r="K4" s="1423"/>
    </row>
    <row r="5" spans="1:11">
      <c r="A5" s="1423"/>
      <c r="B5" s="1425" t="s">
        <v>1486</v>
      </c>
      <c r="C5" s="1426" t="s">
        <v>1377</v>
      </c>
      <c r="D5" s="1425" t="s">
        <v>1487</v>
      </c>
      <c r="E5" s="1425" t="s">
        <v>1488</v>
      </c>
      <c r="F5" s="1425" t="s">
        <v>1489</v>
      </c>
      <c r="G5" s="1425" t="s">
        <v>1490</v>
      </c>
      <c r="H5" s="1425" t="s">
        <v>1491</v>
      </c>
      <c r="I5" s="1425">
        <v>2022</v>
      </c>
      <c r="J5" s="1425">
        <v>2023</v>
      </c>
      <c r="K5" s="1425">
        <v>2024</v>
      </c>
    </row>
    <row r="6" spans="1:11" ht="60">
      <c r="A6" s="1423"/>
      <c r="B6" s="1427">
        <v>1</v>
      </c>
      <c r="C6" s="1428" t="s">
        <v>1492</v>
      </c>
      <c r="D6" s="1427">
        <v>114</v>
      </c>
      <c r="E6" s="1427">
        <v>14</v>
      </c>
      <c r="F6" s="1429" t="s">
        <v>1493</v>
      </c>
      <c r="G6" s="1429" t="s">
        <v>689</v>
      </c>
      <c r="H6" s="1795" t="s">
        <v>1899</v>
      </c>
      <c r="I6" s="1430">
        <v>194545089</v>
      </c>
      <c r="J6" s="1430">
        <v>215228266</v>
      </c>
      <c r="K6" s="1430">
        <v>217834522</v>
      </c>
    </row>
    <row r="7" spans="1:11" ht="60">
      <c r="A7" s="1423"/>
      <c r="B7" s="1427">
        <f>B6+1</f>
        <v>2</v>
      </c>
      <c r="C7" s="1428" t="s">
        <v>1494</v>
      </c>
      <c r="D7" s="1427">
        <v>114</v>
      </c>
      <c r="E7" s="1427">
        <v>19</v>
      </c>
      <c r="F7" s="1429" t="s">
        <v>1493</v>
      </c>
      <c r="G7" s="1429" t="s">
        <v>852</v>
      </c>
      <c r="H7" s="1429" t="s">
        <v>1899</v>
      </c>
      <c r="I7" s="1430">
        <v>-1055726</v>
      </c>
      <c r="J7" s="1430">
        <v>-764880</v>
      </c>
      <c r="K7" s="1430">
        <v>-471299</v>
      </c>
    </row>
    <row r="8" spans="1:11" ht="60">
      <c r="A8" s="1423"/>
      <c r="B8" s="1427">
        <f t="shared" ref="B8:B66" si="0">B7+1</f>
        <v>3</v>
      </c>
      <c r="C8" s="1428" t="s">
        <v>1495</v>
      </c>
      <c r="D8" s="1427">
        <v>200</v>
      </c>
      <c r="E8" s="1427">
        <v>21</v>
      </c>
      <c r="F8" s="1429" t="s">
        <v>1493</v>
      </c>
      <c r="G8" s="1429" t="s">
        <v>830</v>
      </c>
      <c r="H8" s="1429" t="s">
        <v>1900</v>
      </c>
      <c r="I8" s="1430">
        <v>736465711</v>
      </c>
      <c r="J8" s="1430">
        <v>781734972</v>
      </c>
      <c r="K8" s="1430">
        <v>843345230</v>
      </c>
    </row>
    <row r="9" spans="1:11" ht="30">
      <c r="A9" s="1423"/>
      <c r="B9" s="1427">
        <f t="shared" si="0"/>
        <v>4</v>
      </c>
      <c r="C9" s="1428" t="s">
        <v>1496</v>
      </c>
      <c r="D9" s="1427">
        <v>204</v>
      </c>
      <c r="E9" s="1427">
        <v>5</v>
      </c>
      <c r="F9" s="1429" t="s">
        <v>1497</v>
      </c>
      <c r="G9" s="1429" t="s">
        <v>809</v>
      </c>
      <c r="H9" s="1429" t="s">
        <v>1901</v>
      </c>
      <c r="I9" s="1430">
        <v>1106474798</v>
      </c>
      <c r="J9" s="1430">
        <v>1128981210</v>
      </c>
      <c r="K9" s="1430">
        <v>1133971846</v>
      </c>
    </row>
    <row r="10" spans="1:11" ht="30">
      <c r="A10" s="1423"/>
      <c r="B10" s="1427">
        <f t="shared" si="0"/>
        <v>5</v>
      </c>
      <c r="C10" s="1428" t="s">
        <v>1499</v>
      </c>
      <c r="D10" s="1427">
        <v>204</v>
      </c>
      <c r="E10" s="1427">
        <v>5</v>
      </c>
      <c r="F10" s="1429" t="s">
        <v>1157</v>
      </c>
      <c r="G10" s="1429" t="s">
        <v>810</v>
      </c>
      <c r="H10" s="1429" t="s">
        <v>1902</v>
      </c>
      <c r="I10" s="1430">
        <v>1128981210</v>
      </c>
      <c r="J10" s="1430">
        <v>1133971846</v>
      </c>
      <c r="K10" s="1430">
        <v>1179847915</v>
      </c>
    </row>
    <row r="11" spans="1:11" ht="30">
      <c r="A11" s="1423"/>
      <c r="B11" s="1427">
        <f t="shared" si="0"/>
        <v>6</v>
      </c>
      <c r="C11" s="1428" t="s">
        <v>1501</v>
      </c>
      <c r="D11" s="1427">
        <v>204</v>
      </c>
      <c r="E11" s="1427">
        <v>46</v>
      </c>
      <c r="F11" s="1429" t="s">
        <v>1497</v>
      </c>
      <c r="G11" s="1429" t="s">
        <v>815</v>
      </c>
      <c r="H11" s="1429" t="s">
        <v>1901</v>
      </c>
      <c r="I11" s="1508">
        <v>13476057171</v>
      </c>
      <c r="J11" s="1508">
        <v>13506299204</v>
      </c>
      <c r="K11" s="1508">
        <v>13656624982</v>
      </c>
    </row>
    <row r="12" spans="1:11" ht="30">
      <c r="A12" s="1423"/>
      <c r="B12" s="1427">
        <f t="shared" si="0"/>
        <v>7</v>
      </c>
      <c r="C12" s="1428" t="s">
        <v>1502</v>
      </c>
      <c r="D12" s="1427">
        <v>204</v>
      </c>
      <c r="E12" s="1427">
        <v>46</v>
      </c>
      <c r="F12" s="1429" t="s">
        <v>1157</v>
      </c>
      <c r="G12" s="1429" t="s">
        <v>816</v>
      </c>
      <c r="H12" s="1429" t="s">
        <v>1902</v>
      </c>
      <c r="I12" s="1508">
        <v>13506299204</v>
      </c>
      <c r="J12" s="1508">
        <v>13656624982</v>
      </c>
      <c r="K12" s="1508">
        <v>14070268662</v>
      </c>
    </row>
    <row r="13" spans="1:11" ht="30">
      <c r="A13" s="1423"/>
      <c r="B13" s="1427">
        <f t="shared" si="0"/>
        <v>8</v>
      </c>
      <c r="C13" s="1428" t="s">
        <v>1503</v>
      </c>
      <c r="D13" s="1427">
        <v>204</v>
      </c>
      <c r="E13" s="1427">
        <v>58</v>
      </c>
      <c r="F13" s="1429" t="s">
        <v>1497</v>
      </c>
      <c r="G13" s="1429" t="s">
        <v>1865</v>
      </c>
      <c r="H13" s="1429" t="s">
        <v>1901</v>
      </c>
      <c r="I13" s="1508">
        <v>7890023096</v>
      </c>
      <c r="J13" s="1508">
        <v>8046307902</v>
      </c>
      <c r="K13" s="1508">
        <v>8211445572</v>
      </c>
    </row>
    <row r="14" spans="1:11" ht="30">
      <c r="A14" s="1423"/>
      <c r="B14" s="1427">
        <f t="shared" si="0"/>
        <v>9</v>
      </c>
      <c r="C14" s="1428" t="s">
        <v>1504</v>
      </c>
      <c r="D14" s="1427">
        <v>204</v>
      </c>
      <c r="E14" s="1427">
        <v>58</v>
      </c>
      <c r="F14" s="1429" t="s">
        <v>1157</v>
      </c>
      <c r="G14" s="1429" t="s">
        <v>1866</v>
      </c>
      <c r="H14" s="1429" t="s">
        <v>1902</v>
      </c>
      <c r="I14" s="1508">
        <v>8046307902</v>
      </c>
      <c r="J14" s="1508">
        <v>8211445572</v>
      </c>
      <c r="K14" s="1508">
        <v>10991371604</v>
      </c>
    </row>
    <row r="15" spans="1:11" ht="30">
      <c r="A15" s="1423"/>
      <c r="B15" s="1427">
        <f t="shared" si="0"/>
        <v>10</v>
      </c>
      <c r="C15" s="1428" t="s">
        <v>1505</v>
      </c>
      <c r="D15" s="1427">
        <v>204</v>
      </c>
      <c r="E15" s="1427">
        <v>75</v>
      </c>
      <c r="F15" s="1429" t="s">
        <v>1497</v>
      </c>
      <c r="G15" s="1429" t="s">
        <v>1867</v>
      </c>
      <c r="H15" s="1429" t="s">
        <v>1901</v>
      </c>
      <c r="I15" s="1508">
        <v>8032285953</v>
      </c>
      <c r="J15" s="1508">
        <v>8466404321</v>
      </c>
      <c r="K15" s="1508">
        <v>9049257838</v>
      </c>
    </row>
    <row r="16" spans="1:11" ht="30">
      <c r="A16" s="1423"/>
      <c r="B16" s="1427">
        <f t="shared" si="0"/>
        <v>11</v>
      </c>
      <c r="C16" s="1428" t="s">
        <v>1506</v>
      </c>
      <c r="D16" s="1427">
        <v>204</v>
      </c>
      <c r="E16" s="1427">
        <v>75</v>
      </c>
      <c r="F16" s="1429" t="s">
        <v>1157</v>
      </c>
      <c r="G16" s="1429" t="s">
        <v>1868</v>
      </c>
      <c r="H16" s="1429" t="s">
        <v>1902</v>
      </c>
      <c r="I16" s="1508">
        <v>8466404321</v>
      </c>
      <c r="J16" s="1508">
        <v>9049257838</v>
      </c>
      <c r="K16" s="1508">
        <v>9832751087</v>
      </c>
    </row>
    <row r="17" spans="1:11" ht="30">
      <c r="A17" s="1423"/>
      <c r="B17" s="1427">
        <f t="shared" si="0"/>
        <v>12</v>
      </c>
      <c r="C17" s="1428" t="s">
        <v>1507</v>
      </c>
      <c r="D17" s="1427">
        <v>204</v>
      </c>
      <c r="E17" s="1427">
        <v>99</v>
      </c>
      <c r="F17" s="1429" t="s">
        <v>1497</v>
      </c>
      <c r="G17" s="1429" t="s">
        <v>1869</v>
      </c>
      <c r="H17" s="1429" t="s">
        <v>1901</v>
      </c>
      <c r="I17" s="1508">
        <v>1376963715</v>
      </c>
      <c r="J17" s="1508">
        <v>1465275062</v>
      </c>
      <c r="K17" s="1508">
        <v>1537122609</v>
      </c>
    </row>
    <row r="18" spans="1:11" ht="30">
      <c r="A18" s="1423"/>
      <c r="B18" s="1427">
        <f t="shared" si="0"/>
        <v>13</v>
      </c>
      <c r="C18" s="1428" t="s">
        <v>1508</v>
      </c>
      <c r="D18" s="1427">
        <v>204</v>
      </c>
      <c r="E18" s="1427">
        <v>99</v>
      </c>
      <c r="F18" s="1429" t="s">
        <v>1157</v>
      </c>
      <c r="G18" s="1429" t="s">
        <v>1870</v>
      </c>
      <c r="H18" s="1429" t="s">
        <v>1902</v>
      </c>
      <c r="I18" s="1508">
        <v>1465275062</v>
      </c>
      <c r="J18" s="1508">
        <v>1537122609</v>
      </c>
      <c r="K18" s="1508">
        <v>1620848652</v>
      </c>
    </row>
    <row r="19" spans="1:11" ht="30">
      <c r="A19" s="1423"/>
      <c r="B19" s="1427">
        <f t="shared" si="0"/>
        <v>14</v>
      </c>
      <c r="C19" s="1428" t="s">
        <v>1407</v>
      </c>
      <c r="D19" s="1427">
        <v>204</v>
      </c>
      <c r="E19" s="1427">
        <v>101</v>
      </c>
      <c r="F19" s="1429" t="s">
        <v>1157</v>
      </c>
      <c r="G19" s="1429" t="s">
        <v>1910</v>
      </c>
      <c r="H19" s="1429" t="s">
        <v>1902</v>
      </c>
      <c r="I19" s="1430">
        <v>0</v>
      </c>
      <c r="J19" s="1430">
        <v>0</v>
      </c>
      <c r="K19" s="1430">
        <v>0</v>
      </c>
    </row>
    <row r="20" spans="1:11" ht="30">
      <c r="A20" s="1423"/>
      <c r="B20" s="1427">
        <f t="shared" si="0"/>
        <v>15</v>
      </c>
      <c r="C20" s="1428" t="s">
        <v>1509</v>
      </c>
      <c r="D20" s="1427">
        <v>204</v>
      </c>
      <c r="E20" s="1427">
        <v>102</v>
      </c>
      <c r="F20" s="1429" t="s">
        <v>1157</v>
      </c>
      <c r="G20" s="1429" t="s">
        <v>1871</v>
      </c>
      <c r="H20" s="1429" t="s">
        <v>1902</v>
      </c>
      <c r="I20" s="1430">
        <v>0</v>
      </c>
      <c r="J20" s="1430">
        <v>0</v>
      </c>
      <c r="K20" s="1430">
        <v>-184656</v>
      </c>
    </row>
    <row r="21" spans="1:11" ht="30">
      <c r="A21" s="1423"/>
      <c r="B21" s="1427">
        <f t="shared" si="0"/>
        <v>16</v>
      </c>
      <c r="C21" s="1428" t="s">
        <v>1510</v>
      </c>
      <c r="D21" s="1427">
        <v>204</v>
      </c>
      <c r="E21" s="1427">
        <v>104</v>
      </c>
      <c r="F21" s="1429" t="s">
        <v>1497</v>
      </c>
      <c r="G21" s="1429" t="s">
        <v>1915</v>
      </c>
      <c r="H21" s="1429" t="s">
        <v>1901</v>
      </c>
      <c r="I21" s="1508">
        <v>31881804733</v>
      </c>
      <c r="J21" s="1508">
        <v>32613267699</v>
      </c>
      <c r="K21" s="1508">
        <v>33588422847</v>
      </c>
    </row>
    <row r="22" spans="1:11" ht="30">
      <c r="A22" s="1423"/>
      <c r="B22" s="1427">
        <f t="shared" si="0"/>
        <v>17</v>
      </c>
      <c r="C22" s="1428" t="s">
        <v>1511</v>
      </c>
      <c r="D22" s="1427">
        <v>204</v>
      </c>
      <c r="E22" s="1427">
        <v>104</v>
      </c>
      <c r="F22" s="1429" t="s">
        <v>1157</v>
      </c>
      <c r="G22" s="1429" t="s">
        <v>1909</v>
      </c>
      <c r="H22" s="1429" t="s">
        <v>1902</v>
      </c>
      <c r="I22" s="1508">
        <v>32613267699</v>
      </c>
      <c r="J22" s="1508">
        <v>33588422847</v>
      </c>
      <c r="K22" s="1508">
        <v>37695272576</v>
      </c>
    </row>
    <row r="23" spans="1:11" ht="30">
      <c r="A23" s="1423"/>
      <c r="B23" s="1427">
        <f t="shared" si="0"/>
        <v>18</v>
      </c>
      <c r="C23" s="1428" t="s">
        <v>1512</v>
      </c>
      <c r="D23" s="1427">
        <v>214</v>
      </c>
      <c r="E23" s="1427">
        <v>47</v>
      </c>
      <c r="F23" s="1429" t="s">
        <v>1513</v>
      </c>
      <c r="G23" s="1429" t="s">
        <v>862</v>
      </c>
      <c r="H23" s="1429" t="s">
        <v>1902</v>
      </c>
      <c r="I23" s="1430">
        <v>14174575</v>
      </c>
      <c r="J23" s="1430">
        <v>14174575</v>
      </c>
      <c r="K23" s="1430">
        <v>11176145</v>
      </c>
    </row>
    <row r="24" spans="1:11" ht="30">
      <c r="A24" s="1423"/>
      <c r="B24" s="1427">
        <f t="shared" si="0"/>
        <v>19</v>
      </c>
      <c r="C24" s="1428" t="s">
        <v>1514</v>
      </c>
      <c r="D24" s="1427">
        <v>219</v>
      </c>
      <c r="E24" s="1427">
        <v>20</v>
      </c>
      <c r="F24" s="1429" t="s">
        <v>1493</v>
      </c>
      <c r="G24" s="1429" t="s">
        <v>1414</v>
      </c>
      <c r="H24" s="1429" t="s">
        <v>1903</v>
      </c>
      <c r="I24" s="1508">
        <v>4372506495</v>
      </c>
      <c r="J24" s="1508">
        <v>4617706639</v>
      </c>
      <c r="K24" s="1508">
        <v>4940134758</v>
      </c>
    </row>
    <row r="25" spans="1:11" ht="30">
      <c r="A25" s="1423"/>
      <c r="B25" s="1427">
        <f t="shared" si="0"/>
        <v>20</v>
      </c>
      <c r="C25" s="1428" t="s">
        <v>1515</v>
      </c>
      <c r="D25" s="1427">
        <v>219</v>
      </c>
      <c r="E25" s="1427">
        <v>21</v>
      </c>
      <c r="F25" s="1429" t="s">
        <v>1493</v>
      </c>
      <c r="G25" s="1429" t="s">
        <v>1416</v>
      </c>
      <c r="H25" s="1429" t="s">
        <v>1903</v>
      </c>
      <c r="I25" s="1430">
        <v>0</v>
      </c>
      <c r="J25" s="1430">
        <v>0</v>
      </c>
      <c r="K25" s="1430">
        <v>0</v>
      </c>
    </row>
    <row r="26" spans="1:11" ht="30">
      <c r="A26" s="1423"/>
      <c r="B26" s="1427">
        <f t="shared" si="0"/>
        <v>21</v>
      </c>
      <c r="C26" s="1428" t="s">
        <v>1516</v>
      </c>
      <c r="D26" s="1427">
        <v>219</v>
      </c>
      <c r="E26" s="1427">
        <v>22</v>
      </c>
      <c r="F26" s="1429" t="s">
        <v>1493</v>
      </c>
      <c r="G26" s="1429" t="s">
        <v>1417</v>
      </c>
      <c r="H26" s="1429" t="s">
        <v>1903</v>
      </c>
      <c r="I26" s="1508">
        <v>440043652</v>
      </c>
      <c r="J26" s="1508">
        <v>466792292</v>
      </c>
      <c r="K26" s="1508">
        <v>481699816</v>
      </c>
    </row>
    <row r="27" spans="1:11" ht="30">
      <c r="A27" s="1423"/>
      <c r="B27" s="1427">
        <f t="shared" si="0"/>
        <v>22</v>
      </c>
      <c r="C27" s="1428" t="s">
        <v>1517</v>
      </c>
      <c r="D27" s="1427">
        <v>219</v>
      </c>
      <c r="E27" s="1427">
        <v>23</v>
      </c>
      <c r="F27" s="1429" t="s">
        <v>1493</v>
      </c>
      <c r="G27" s="1429" t="s">
        <v>1418</v>
      </c>
      <c r="H27" s="1429" t="s">
        <v>1903</v>
      </c>
      <c r="I27" s="1430">
        <v>0</v>
      </c>
      <c r="J27" s="1430">
        <v>0</v>
      </c>
      <c r="K27" s="1430">
        <v>0</v>
      </c>
    </row>
    <row r="28" spans="1:11" ht="30">
      <c r="A28" s="1423"/>
      <c r="B28" s="1427">
        <f t="shared" si="0"/>
        <v>23</v>
      </c>
      <c r="C28" s="1428" t="s">
        <v>1518</v>
      </c>
      <c r="D28" s="1427">
        <v>219</v>
      </c>
      <c r="E28" s="1427">
        <v>24</v>
      </c>
      <c r="F28" s="1429" t="s">
        <v>1493</v>
      </c>
      <c r="G28" s="1429" t="s">
        <v>1419</v>
      </c>
      <c r="H28" s="1429" t="s">
        <v>1903</v>
      </c>
      <c r="I28" s="1508">
        <v>582571086</v>
      </c>
      <c r="J28" s="1508">
        <v>760981107</v>
      </c>
      <c r="K28" s="1508">
        <v>953112482</v>
      </c>
    </row>
    <row r="29" spans="1:11" ht="30">
      <c r="A29" s="1423"/>
      <c r="B29" s="1427">
        <f t="shared" si="0"/>
        <v>24</v>
      </c>
      <c r="C29" s="1428" t="s">
        <v>1519</v>
      </c>
      <c r="D29" s="1427">
        <v>219</v>
      </c>
      <c r="E29" s="1427">
        <v>25</v>
      </c>
      <c r="F29" s="1429" t="s">
        <v>1493</v>
      </c>
      <c r="G29" s="1429" t="s">
        <v>823</v>
      </c>
      <c r="H29" s="1429" t="s">
        <v>1903</v>
      </c>
      <c r="I29" s="1508">
        <v>2146075860</v>
      </c>
      <c r="J29" s="1508">
        <v>2258536003</v>
      </c>
      <c r="K29" s="1508">
        <v>2378284253</v>
      </c>
    </row>
    <row r="30" spans="1:11" ht="30">
      <c r="A30" s="1423"/>
      <c r="B30" s="1427">
        <f t="shared" si="0"/>
        <v>25</v>
      </c>
      <c r="C30" s="1428" t="s">
        <v>1520</v>
      </c>
      <c r="D30" s="1427">
        <v>219</v>
      </c>
      <c r="E30" s="1427">
        <v>26</v>
      </c>
      <c r="F30" s="1429" t="s">
        <v>1493</v>
      </c>
      <c r="G30" s="1429" t="s">
        <v>826</v>
      </c>
      <c r="H30" s="1429" t="s">
        <v>1903</v>
      </c>
      <c r="I30" s="1508">
        <v>3234824181</v>
      </c>
      <c r="J30" s="1508">
        <v>3342434416</v>
      </c>
      <c r="K30" s="1508">
        <v>3470803802</v>
      </c>
    </row>
    <row r="31" spans="1:11" ht="30">
      <c r="A31" s="1423"/>
      <c r="B31" s="1427">
        <f t="shared" si="0"/>
        <v>26</v>
      </c>
      <c r="C31" s="1428" t="s">
        <v>1521</v>
      </c>
      <c r="D31" s="1427">
        <v>219</v>
      </c>
      <c r="E31" s="1427">
        <v>28</v>
      </c>
      <c r="F31" s="1429" t="s">
        <v>1493</v>
      </c>
      <c r="G31" s="1429" t="s">
        <v>834</v>
      </c>
      <c r="H31" s="1429" t="s">
        <v>1903</v>
      </c>
      <c r="I31" s="1508">
        <v>565097827</v>
      </c>
      <c r="J31" s="1508">
        <v>579316418</v>
      </c>
      <c r="K31" s="1508">
        <v>615054360</v>
      </c>
    </row>
    <row r="32" spans="1:11" ht="30">
      <c r="A32" s="1423"/>
      <c r="B32" s="1427">
        <f t="shared" si="0"/>
        <v>27</v>
      </c>
      <c r="C32" s="1428" t="s">
        <v>1522</v>
      </c>
      <c r="D32" s="1427">
        <v>219</v>
      </c>
      <c r="E32" s="1427">
        <v>29</v>
      </c>
      <c r="F32" s="1429" t="s">
        <v>1493</v>
      </c>
      <c r="G32" s="1429" t="s">
        <v>1916</v>
      </c>
      <c r="H32" s="1429" t="s">
        <v>1903</v>
      </c>
      <c r="I32" s="1508">
        <v>11341119101</v>
      </c>
      <c r="J32" s="1508">
        <v>12025766875</v>
      </c>
      <c r="K32" s="1508">
        <v>12839089471</v>
      </c>
    </row>
    <row r="33" spans="1:11" ht="30">
      <c r="A33" s="1423"/>
      <c r="B33" s="1427">
        <f t="shared" si="0"/>
        <v>28</v>
      </c>
      <c r="C33" s="1428" t="s">
        <v>1523</v>
      </c>
      <c r="D33" s="1427">
        <v>227</v>
      </c>
      <c r="E33" s="1427">
        <v>5</v>
      </c>
      <c r="F33" s="1429" t="s">
        <v>1493</v>
      </c>
      <c r="G33" s="1429" t="s">
        <v>846</v>
      </c>
      <c r="H33" s="1429" t="s">
        <v>1904</v>
      </c>
      <c r="I33" s="1430">
        <v>251987732</v>
      </c>
      <c r="J33" s="1430">
        <v>336602638</v>
      </c>
      <c r="K33" s="1430">
        <v>422879240</v>
      </c>
    </row>
    <row r="34" spans="1:11" ht="30">
      <c r="A34" s="1423"/>
      <c r="B34" s="1427">
        <f t="shared" si="0"/>
        <v>29</v>
      </c>
      <c r="C34" s="1428" t="s">
        <v>1524</v>
      </c>
      <c r="D34" s="1427">
        <v>227</v>
      </c>
      <c r="E34" s="1427">
        <v>8</v>
      </c>
      <c r="F34" s="1429" t="s">
        <v>1493</v>
      </c>
      <c r="G34" s="1429" t="s">
        <v>847</v>
      </c>
      <c r="H34" s="1429" t="s">
        <v>1904</v>
      </c>
      <c r="I34" s="1430">
        <v>1327748</v>
      </c>
      <c r="J34" s="1430">
        <v>1657571</v>
      </c>
      <c r="K34" s="1430">
        <v>1871312</v>
      </c>
    </row>
    <row r="35" spans="1:11" ht="30">
      <c r="A35" s="1423"/>
      <c r="B35" s="1427">
        <f t="shared" si="0"/>
        <v>30</v>
      </c>
      <c r="C35" s="1428" t="s">
        <v>1525</v>
      </c>
      <c r="D35" s="1427">
        <v>227</v>
      </c>
      <c r="E35" s="1427">
        <v>16</v>
      </c>
      <c r="F35" s="1429" t="s">
        <v>1493</v>
      </c>
      <c r="G35" s="1429" t="s">
        <v>843</v>
      </c>
      <c r="H35" s="1429" t="s">
        <v>1904</v>
      </c>
      <c r="I35" s="1430">
        <v>0</v>
      </c>
      <c r="J35" s="1430">
        <v>0</v>
      </c>
      <c r="K35" s="1430">
        <v>0</v>
      </c>
    </row>
    <row r="36" spans="1:11">
      <c r="A36" s="1423"/>
      <c r="B36" s="1427">
        <f t="shared" si="0"/>
        <v>31</v>
      </c>
      <c r="C36" s="1428" t="s">
        <v>1526</v>
      </c>
      <c r="D36" s="1427">
        <v>234</v>
      </c>
      <c r="E36" s="1427">
        <v>18</v>
      </c>
      <c r="F36" s="1429" t="s">
        <v>1497</v>
      </c>
      <c r="G36" s="1429" t="s">
        <v>1427</v>
      </c>
      <c r="H36" s="1429" t="s">
        <v>1498</v>
      </c>
      <c r="I36" s="1430">
        <v>701421321</v>
      </c>
      <c r="J36" s="1430">
        <v>695784538</v>
      </c>
      <c r="K36" s="1430">
        <v>928229377</v>
      </c>
    </row>
    <row r="37" spans="1:11">
      <c r="A37" s="1423"/>
      <c r="B37" s="1427">
        <f t="shared" si="0"/>
        <v>32</v>
      </c>
      <c r="C37" s="1428" t="s">
        <v>1527</v>
      </c>
      <c r="D37" s="1427">
        <v>234</v>
      </c>
      <c r="E37" s="1427">
        <v>18</v>
      </c>
      <c r="F37" s="1429" t="s">
        <v>1493</v>
      </c>
      <c r="G37" s="1429" t="s">
        <v>1430</v>
      </c>
      <c r="H37" s="1429" t="s">
        <v>1500</v>
      </c>
      <c r="I37" s="1430">
        <v>695784538</v>
      </c>
      <c r="J37" s="1430">
        <v>928229377</v>
      </c>
      <c r="K37" s="1430">
        <v>957142003</v>
      </c>
    </row>
    <row r="38" spans="1:11">
      <c r="A38" s="1423"/>
      <c r="B38" s="1427">
        <f t="shared" si="0"/>
        <v>33</v>
      </c>
      <c r="C38" s="1428" t="s">
        <v>1528</v>
      </c>
      <c r="D38" s="1427">
        <v>272</v>
      </c>
      <c r="E38" s="1427">
        <v>17</v>
      </c>
      <c r="F38" s="1429" t="s">
        <v>1497</v>
      </c>
      <c r="G38" s="1429" t="s">
        <v>1432</v>
      </c>
      <c r="H38" s="1431" t="s">
        <v>1529</v>
      </c>
      <c r="I38" s="1430">
        <v>143583856</v>
      </c>
      <c r="J38" s="1430">
        <v>134154544</v>
      </c>
      <c r="K38" s="1430">
        <v>122977940</v>
      </c>
    </row>
    <row r="39" spans="1:11">
      <c r="A39" s="1423"/>
      <c r="B39" s="1427">
        <f t="shared" si="0"/>
        <v>34</v>
      </c>
      <c r="C39" s="1428" t="s">
        <v>1530</v>
      </c>
      <c r="D39" s="1427">
        <v>272</v>
      </c>
      <c r="E39" s="1427">
        <v>17</v>
      </c>
      <c r="F39" s="1429" t="s">
        <v>1531</v>
      </c>
      <c r="G39" s="1429" t="s">
        <v>1434</v>
      </c>
      <c r="H39" s="1429" t="s">
        <v>1532</v>
      </c>
      <c r="I39" s="1430">
        <v>134154544</v>
      </c>
      <c r="J39" s="1430">
        <v>122977940</v>
      </c>
      <c r="K39" s="1430">
        <v>111057724</v>
      </c>
    </row>
    <row r="40" spans="1:11">
      <c r="A40" s="1423"/>
      <c r="B40" s="1427">
        <f t="shared" si="0"/>
        <v>35</v>
      </c>
      <c r="C40" s="1428" t="s">
        <v>1533</v>
      </c>
      <c r="D40" s="1427">
        <v>274</v>
      </c>
      <c r="E40" s="1427">
        <v>9</v>
      </c>
      <c r="F40" s="1429" t="s">
        <v>1497</v>
      </c>
      <c r="G40" s="1429" t="s">
        <v>1435</v>
      </c>
      <c r="H40" s="1431" t="s">
        <v>1529</v>
      </c>
      <c r="I40" s="1430">
        <v>3054144040</v>
      </c>
      <c r="J40" s="1430">
        <v>3180346057</v>
      </c>
      <c r="K40" s="1430">
        <v>3253177664</v>
      </c>
    </row>
    <row r="41" spans="1:11">
      <c r="A41" s="1423"/>
      <c r="B41" s="1427">
        <f t="shared" si="0"/>
        <v>36</v>
      </c>
      <c r="C41" s="1428" t="s">
        <v>1534</v>
      </c>
      <c r="D41" s="1427">
        <v>274</v>
      </c>
      <c r="E41" s="1427">
        <v>9</v>
      </c>
      <c r="F41" s="1429" t="s">
        <v>1531</v>
      </c>
      <c r="G41" s="1429" t="s">
        <v>1436</v>
      </c>
      <c r="H41" s="1429" t="s">
        <v>1532</v>
      </c>
      <c r="I41" s="1430">
        <v>3180346057</v>
      </c>
      <c r="J41" s="1430">
        <v>3253177664</v>
      </c>
      <c r="K41" s="1430">
        <v>3345774488</v>
      </c>
    </row>
    <row r="42" spans="1:11">
      <c r="A42" s="1423"/>
      <c r="B42" s="1427">
        <f t="shared" si="0"/>
        <v>37</v>
      </c>
      <c r="C42" s="1428" t="s">
        <v>1535</v>
      </c>
      <c r="D42" s="1427">
        <v>276</v>
      </c>
      <c r="E42" s="1427">
        <v>19</v>
      </c>
      <c r="F42" s="1429" t="s">
        <v>1497</v>
      </c>
      <c r="G42" s="1429" t="s">
        <v>1437</v>
      </c>
      <c r="H42" s="1429" t="s">
        <v>1529</v>
      </c>
      <c r="I42" s="1430">
        <v>382542004</v>
      </c>
      <c r="J42" s="1430">
        <v>565331047</v>
      </c>
      <c r="K42" s="1430">
        <v>675137414</v>
      </c>
    </row>
    <row r="43" spans="1:11">
      <c r="A43" s="1423"/>
      <c r="B43" s="1427">
        <f t="shared" si="0"/>
        <v>38</v>
      </c>
      <c r="C43" s="1428" t="s">
        <v>1536</v>
      </c>
      <c r="D43" s="1427">
        <v>276</v>
      </c>
      <c r="E43" s="1427">
        <v>19</v>
      </c>
      <c r="F43" s="1429" t="s">
        <v>1531</v>
      </c>
      <c r="G43" s="1429" t="s">
        <v>1438</v>
      </c>
      <c r="H43" s="1429" t="s">
        <v>1532</v>
      </c>
      <c r="I43" s="1430">
        <v>565331047</v>
      </c>
      <c r="J43" s="1430">
        <v>675137414</v>
      </c>
      <c r="K43" s="1430">
        <v>765740745</v>
      </c>
    </row>
    <row r="44" spans="1:11">
      <c r="A44" s="1423"/>
      <c r="B44" s="1427">
        <f t="shared" si="0"/>
        <v>39</v>
      </c>
      <c r="C44" s="1428" t="s">
        <v>1537</v>
      </c>
      <c r="D44" s="1427">
        <v>320</v>
      </c>
      <c r="E44" s="1427">
        <v>84</v>
      </c>
      <c r="F44" s="1429" t="s">
        <v>1497</v>
      </c>
      <c r="G44" s="1429" t="s">
        <v>1873</v>
      </c>
      <c r="H44" s="1429" t="s">
        <v>1538</v>
      </c>
      <c r="I44" s="1430">
        <v>0</v>
      </c>
      <c r="J44" s="1430">
        <v>0</v>
      </c>
      <c r="K44" s="1430">
        <v>0</v>
      </c>
    </row>
    <row r="45" spans="1:11">
      <c r="A45" s="1423"/>
      <c r="B45" s="1427">
        <f t="shared" si="0"/>
        <v>40</v>
      </c>
      <c r="C45" s="1428" t="s">
        <v>1539</v>
      </c>
      <c r="D45" s="1427">
        <v>320</v>
      </c>
      <c r="E45" s="1427">
        <v>85</v>
      </c>
      <c r="F45" s="1429" t="s">
        <v>1497</v>
      </c>
      <c r="G45" s="1429" t="s">
        <v>1860</v>
      </c>
      <c r="H45" s="1429" t="s">
        <v>1538</v>
      </c>
      <c r="I45" s="1430">
        <v>0</v>
      </c>
      <c r="J45" s="1430">
        <v>0</v>
      </c>
      <c r="K45" s="1430">
        <v>0</v>
      </c>
    </row>
    <row r="46" spans="1:11">
      <c r="A46" s="1423"/>
      <c r="B46" s="1427">
        <f t="shared" si="0"/>
        <v>41</v>
      </c>
      <c r="C46" s="1428" t="s">
        <v>1540</v>
      </c>
      <c r="D46" s="1427">
        <v>320</v>
      </c>
      <c r="E46" s="1427">
        <v>86</v>
      </c>
      <c r="F46" s="1429" t="s">
        <v>1497</v>
      </c>
      <c r="G46" s="1429" t="s">
        <v>1861</v>
      </c>
      <c r="H46" s="1429" t="s">
        <v>1538</v>
      </c>
      <c r="I46" s="1430">
        <v>7448335</v>
      </c>
      <c r="J46" s="1430">
        <v>7195043</v>
      </c>
      <c r="K46" s="1430">
        <v>8449519</v>
      </c>
    </row>
    <row r="47" spans="1:11">
      <c r="A47" s="1423"/>
      <c r="B47" s="1427">
        <f t="shared" si="0"/>
        <v>42</v>
      </c>
      <c r="C47" s="1428" t="s">
        <v>1541</v>
      </c>
      <c r="D47" s="1427">
        <v>320</v>
      </c>
      <c r="E47" s="1427">
        <v>87</v>
      </c>
      <c r="F47" s="1429" t="s">
        <v>1497</v>
      </c>
      <c r="G47" s="1429" t="s">
        <v>1862</v>
      </c>
      <c r="H47" s="1429" t="s">
        <v>1538</v>
      </c>
      <c r="I47" s="1430">
        <v>0</v>
      </c>
      <c r="J47" s="1430">
        <v>0</v>
      </c>
      <c r="K47" s="1430">
        <v>0</v>
      </c>
    </row>
    <row r="48" spans="1:11">
      <c r="A48" s="1423"/>
      <c r="B48" s="1427">
        <f t="shared" si="0"/>
        <v>43</v>
      </c>
      <c r="C48" s="1428" t="s">
        <v>1542</v>
      </c>
      <c r="D48" s="1427">
        <v>320</v>
      </c>
      <c r="E48" s="1427">
        <v>88</v>
      </c>
      <c r="F48" s="1429" t="s">
        <v>1497</v>
      </c>
      <c r="G48" s="1429" t="s">
        <v>1863</v>
      </c>
      <c r="H48" s="1429" t="s">
        <v>1538</v>
      </c>
      <c r="I48" s="1430">
        <v>884337</v>
      </c>
      <c r="J48" s="1430">
        <v>909952</v>
      </c>
      <c r="K48" s="1430">
        <v>832432</v>
      </c>
    </row>
    <row r="49" spans="1:11">
      <c r="A49" s="1423"/>
      <c r="B49" s="1427">
        <f t="shared" si="0"/>
        <v>44</v>
      </c>
      <c r="C49" s="1428" t="s">
        <v>1543</v>
      </c>
      <c r="D49" s="1427">
        <v>320</v>
      </c>
      <c r="E49" s="1427">
        <v>89</v>
      </c>
      <c r="F49" s="1429" t="s">
        <v>1497</v>
      </c>
      <c r="G49" s="1429" t="s">
        <v>1864</v>
      </c>
      <c r="H49" s="1429" t="s">
        <v>1538</v>
      </c>
      <c r="I49" s="1430">
        <v>2516573</v>
      </c>
      <c r="J49" s="1430">
        <v>3000366</v>
      </c>
      <c r="K49" s="1430">
        <v>3114499</v>
      </c>
    </row>
    <row r="50" spans="1:11" ht="30">
      <c r="A50" s="1423"/>
      <c r="B50" s="1427">
        <f t="shared" si="0"/>
        <v>45</v>
      </c>
      <c r="C50" s="1428" t="s">
        <v>1544</v>
      </c>
      <c r="D50" s="1427">
        <v>320</v>
      </c>
      <c r="E50" s="1427">
        <v>92</v>
      </c>
      <c r="F50" s="1429" t="s">
        <v>1497</v>
      </c>
      <c r="G50" s="1429" t="s">
        <v>1917</v>
      </c>
      <c r="H50" s="1429" t="s">
        <v>1538</v>
      </c>
      <c r="I50" s="1430">
        <v>5576135</v>
      </c>
      <c r="J50" s="1430">
        <v>5572334</v>
      </c>
      <c r="K50" s="1430">
        <v>5866427</v>
      </c>
    </row>
    <row r="51" spans="1:11">
      <c r="A51" s="1423"/>
      <c r="B51" s="1427">
        <f t="shared" si="0"/>
        <v>46</v>
      </c>
      <c r="C51" s="1428" t="s">
        <v>1545</v>
      </c>
      <c r="D51" s="1427">
        <v>320</v>
      </c>
      <c r="E51" s="1427">
        <v>96</v>
      </c>
      <c r="F51" s="1429" t="s">
        <v>1497</v>
      </c>
      <c r="G51" s="1429" t="s">
        <v>1874</v>
      </c>
      <c r="H51" s="1429" t="s">
        <v>1538</v>
      </c>
      <c r="I51" s="1430">
        <v>163235255</v>
      </c>
      <c r="J51" s="1430">
        <v>165141904</v>
      </c>
      <c r="K51" s="1430">
        <v>176350418</v>
      </c>
    </row>
    <row r="52" spans="1:11">
      <c r="A52" s="1423"/>
      <c r="B52" s="1427">
        <f t="shared" si="0"/>
        <v>47</v>
      </c>
      <c r="C52" s="1428" t="s">
        <v>1546</v>
      </c>
      <c r="D52" s="1427">
        <v>320</v>
      </c>
      <c r="E52" s="1427">
        <v>112</v>
      </c>
      <c r="F52" s="1429" t="s">
        <v>1497</v>
      </c>
      <c r="G52" s="1429" t="s">
        <v>1872</v>
      </c>
      <c r="H52" s="1429" t="s">
        <v>1538</v>
      </c>
      <c r="I52" s="1430">
        <v>239534044</v>
      </c>
      <c r="J52" s="1430">
        <v>258593957</v>
      </c>
      <c r="K52" s="1430">
        <v>272278523</v>
      </c>
    </row>
    <row r="53" spans="1:11">
      <c r="A53" s="1423"/>
      <c r="B53" s="1427">
        <f t="shared" si="0"/>
        <v>48</v>
      </c>
      <c r="C53" s="1428" t="s">
        <v>1547</v>
      </c>
      <c r="D53" s="1427">
        <v>320</v>
      </c>
      <c r="E53" s="1427">
        <v>185</v>
      </c>
      <c r="F53" s="1429" t="s">
        <v>1497</v>
      </c>
      <c r="G53" s="1429" t="s">
        <v>1857</v>
      </c>
      <c r="H53" s="1429" t="s">
        <v>1538</v>
      </c>
      <c r="I53" s="1508">
        <v>4518334</v>
      </c>
      <c r="J53" s="1508">
        <v>5369323</v>
      </c>
      <c r="K53" s="1508">
        <v>6538361</v>
      </c>
    </row>
    <row r="54" spans="1:11">
      <c r="A54" s="1423"/>
      <c r="B54" s="1427">
        <f t="shared" si="0"/>
        <v>49</v>
      </c>
      <c r="C54" s="1428" t="s">
        <v>1548</v>
      </c>
      <c r="D54" s="1427">
        <v>320</v>
      </c>
      <c r="E54" s="1427">
        <v>189</v>
      </c>
      <c r="F54" s="1429" t="s">
        <v>1497</v>
      </c>
      <c r="G54" s="1429" t="s">
        <v>1858</v>
      </c>
      <c r="H54" s="1429" t="s">
        <v>1538</v>
      </c>
      <c r="I54" s="1430">
        <v>26166699</v>
      </c>
      <c r="J54" s="1430">
        <v>32148662</v>
      </c>
      <c r="K54" s="1430">
        <v>35681963</v>
      </c>
    </row>
    <row r="55" spans="1:11">
      <c r="A55" s="1423"/>
      <c r="B55" s="1427">
        <f t="shared" si="0"/>
        <v>50</v>
      </c>
      <c r="C55" s="1428" t="s">
        <v>1549</v>
      </c>
      <c r="D55" s="1427">
        <v>320</v>
      </c>
      <c r="E55" s="1427">
        <v>191</v>
      </c>
      <c r="F55" s="1429" t="s">
        <v>1497</v>
      </c>
      <c r="G55" s="1429" t="s">
        <v>1859</v>
      </c>
      <c r="H55" s="1429" t="s">
        <v>1538</v>
      </c>
      <c r="I55" s="1430">
        <v>15720</v>
      </c>
      <c r="J55" s="1430">
        <v>48947</v>
      </c>
      <c r="K55" s="1430">
        <v>203856</v>
      </c>
    </row>
    <row r="56" spans="1:11">
      <c r="A56" s="1423"/>
      <c r="B56" s="1427">
        <f t="shared" si="0"/>
        <v>51</v>
      </c>
      <c r="C56" s="1428" t="s">
        <v>1550</v>
      </c>
      <c r="D56" s="1427">
        <v>320</v>
      </c>
      <c r="E56" s="1427">
        <v>197</v>
      </c>
      <c r="F56" s="1429" t="s">
        <v>1497</v>
      </c>
      <c r="G56" s="1429" t="s">
        <v>1856</v>
      </c>
      <c r="H56" s="1429" t="s">
        <v>1538</v>
      </c>
      <c r="I56" s="1508">
        <f>264641688-33182</f>
        <v>264608506</v>
      </c>
      <c r="J56" s="1508">
        <v>1929760436</v>
      </c>
      <c r="K56" s="1508">
        <v>635022977.09000003</v>
      </c>
    </row>
    <row r="57" spans="1:11">
      <c r="A57" s="1423"/>
      <c r="B57" s="1427">
        <f t="shared" si="0"/>
        <v>52</v>
      </c>
      <c r="C57" s="1428" t="s">
        <v>1551</v>
      </c>
      <c r="D57" s="1427">
        <v>335</v>
      </c>
      <c r="E57" s="1427">
        <v>1</v>
      </c>
      <c r="F57" s="1429" t="s">
        <v>1497</v>
      </c>
      <c r="G57" s="1429" t="s">
        <v>1918</v>
      </c>
      <c r="H57" s="1429" t="s">
        <v>286</v>
      </c>
      <c r="I57" s="1430">
        <v>1421742</v>
      </c>
      <c r="J57" s="1430">
        <v>1878799</v>
      </c>
      <c r="K57" s="1430">
        <v>2031979</v>
      </c>
    </row>
    <row r="58" spans="1:11" ht="60">
      <c r="A58" s="1423"/>
      <c r="B58" s="1427">
        <f t="shared" si="0"/>
        <v>53</v>
      </c>
      <c r="C58" s="1428" t="s">
        <v>1552</v>
      </c>
      <c r="D58" s="1427">
        <v>336</v>
      </c>
      <c r="E58" s="1427">
        <v>1</v>
      </c>
      <c r="F58" s="1429" t="s">
        <v>1513</v>
      </c>
      <c r="G58" s="1429" t="s">
        <v>914</v>
      </c>
      <c r="H58" s="1429" t="s">
        <v>1905</v>
      </c>
      <c r="I58" s="1430">
        <v>64151576</v>
      </c>
      <c r="J58" s="1430">
        <v>61586054</v>
      </c>
      <c r="K58" s="1430">
        <v>68568312</v>
      </c>
    </row>
    <row r="59" spans="1:11" ht="45">
      <c r="A59" s="1423"/>
      <c r="B59" s="1427">
        <f t="shared" si="0"/>
        <v>54</v>
      </c>
      <c r="C59" s="1428" t="s">
        <v>1553</v>
      </c>
      <c r="D59" s="1427">
        <v>336</v>
      </c>
      <c r="E59" s="1427">
        <v>1</v>
      </c>
      <c r="F59" s="1429" t="s">
        <v>1091</v>
      </c>
      <c r="G59" s="1429" t="s">
        <v>916</v>
      </c>
      <c r="H59" s="1429" t="s">
        <v>1906</v>
      </c>
      <c r="I59" s="1430">
        <v>0</v>
      </c>
      <c r="J59" s="1430">
        <v>0</v>
      </c>
      <c r="K59" s="1430">
        <v>0</v>
      </c>
    </row>
    <row r="60" spans="1:11" ht="45">
      <c r="A60" s="1423"/>
      <c r="B60" s="1427">
        <f t="shared" si="0"/>
        <v>55</v>
      </c>
      <c r="C60" s="1428" t="s">
        <v>1554</v>
      </c>
      <c r="D60" s="1427">
        <v>336</v>
      </c>
      <c r="E60" s="1427">
        <v>7</v>
      </c>
      <c r="F60" s="1429" t="s">
        <v>1497</v>
      </c>
      <c r="G60" s="1429" t="s">
        <v>908</v>
      </c>
      <c r="H60" s="1429" t="s">
        <v>1907</v>
      </c>
      <c r="I60" s="1430">
        <v>137423038</v>
      </c>
      <c r="J60" s="1430">
        <v>139702687</v>
      </c>
      <c r="K60" s="1430">
        <v>146298145</v>
      </c>
    </row>
    <row r="61" spans="1:11" ht="60">
      <c r="A61" s="1423"/>
      <c r="B61" s="1427">
        <f t="shared" si="0"/>
        <v>56</v>
      </c>
      <c r="C61" s="1428" t="s">
        <v>1555</v>
      </c>
      <c r="D61" s="1427">
        <v>336</v>
      </c>
      <c r="E61" s="1427">
        <v>7</v>
      </c>
      <c r="F61" s="1429" t="s">
        <v>1513</v>
      </c>
      <c r="G61" s="1429" t="s">
        <v>910</v>
      </c>
      <c r="H61" s="1429" t="s">
        <v>1905</v>
      </c>
      <c r="I61" s="1430">
        <v>0</v>
      </c>
      <c r="J61" s="1430">
        <v>0</v>
      </c>
      <c r="K61" s="1430">
        <v>0</v>
      </c>
    </row>
    <row r="62" spans="1:11" ht="45">
      <c r="A62" s="1423"/>
      <c r="B62" s="1427">
        <f t="shared" si="0"/>
        <v>57</v>
      </c>
      <c r="C62" s="1428" t="s">
        <v>1556</v>
      </c>
      <c r="D62" s="1427">
        <v>336</v>
      </c>
      <c r="E62" s="1427">
        <v>10</v>
      </c>
      <c r="F62" s="1429" t="s">
        <v>1497</v>
      </c>
      <c r="G62" s="1429" t="s">
        <v>911</v>
      </c>
      <c r="H62" s="1429" t="s">
        <v>1907</v>
      </c>
      <c r="I62" s="1430">
        <v>49920325</v>
      </c>
      <c r="J62" s="1430">
        <v>51650631</v>
      </c>
      <c r="K62" s="1430">
        <v>53033185</v>
      </c>
    </row>
    <row r="63" spans="1:11" ht="60">
      <c r="A63" s="1423"/>
      <c r="B63" s="1427">
        <f t="shared" si="0"/>
        <v>58</v>
      </c>
      <c r="C63" s="1428" t="s">
        <v>1557</v>
      </c>
      <c r="D63" s="1427">
        <v>336</v>
      </c>
      <c r="E63" s="1427">
        <v>10</v>
      </c>
      <c r="F63" s="1429" t="s">
        <v>1513</v>
      </c>
      <c r="G63" s="1429" t="s">
        <v>912</v>
      </c>
      <c r="H63" s="1429" t="s">
        <v>1905</v>
      </c>
      <c r="I63" s="1430">
        <v>432399</v>
      </c>
      <c r="J63" s="1430">
        <v>674030</v>
      </c>
      <c r="K63" s="1430">
        <v>403345</v>
      </c>
    </row>
    <row r="64" spans="1:11" ht="30">
      <c r="A64" s="1423"/>
      <c r="B64" s="1427">
        <f t="shared" si="0"/>
        <v>59</v>
      </c>
      <c r="C64" s="1428" t="s">
        <v>1558</v>
      </c>
      <c r="D64" s="1427">
        <v>354</v>
      </c>
      <c r="E64" s="1427">
        <v>21</v>
      </c>
      <c r="F64" s="1429" t="s">
        <v>1497</v>
      </c>
      <c r="G64" s="1429" t="s">
        <v>16</v>
      </c>
      <c r="H64" s="1429" t="s">
        <v>1908</v>
      </c>
      <c r="I64" s="1430">
        <v>31337006</v>
      </c>
      <c r="J64" s="1430">
        <v>33170529</v>
      </c>
      <c r="K64" s="1430">
        <v>35328643</v>
      </c>
    </row>
    <row r="65" spans="1:11" ht="30">
      <c r="A65" s="1423"/>
      <c r="B65" s="1427">
        <f t="shared" si="0"/>
        <v>60</v>
      </c>
      <c r="C65" s="1428" t="s">
        <v>1559</v>
      </c>
      <c r="D65" s="1427">
        <v>354</v>
      </c>
      <c r="E65" s="1427">
        <v>27</v>
      </c>
      <c r="F65" s="1429" t="s">
        <v>1497</v>
      </c>
      <c r="G65" s="1429" t="s">
        <v>20</v>
      </c>
      <c r="H65" s="1429" t="s">
        <v>1908</v>
      </c>
      <c r="I65" s="1430">
        <v>36895696</v>
      </c>
      <c r="J65" s="1430">
        <v>40158501</v>
      </c>
      <c r="K65" s="1430">
        <v>45609360</v>
      </c>
    </row>
    <row r="66" spans="1:11" ht="30">
      <c r="A66" s="1423"/>
      <c r="B66" s="1427">
        <f t="shared" si="0"/>
        <v>61</v>
      </c>
      <c r="C66" s="1428" t="s">
        <v>1560</v>
      </c>
      <c r="D66" s="1432">
        <v>354</v>
      </c>
      <c r="E66" s="1432">
        <v>28</v>
      </c>
      <c r="F66" s="1433" t="s">
        <v>1497</v>
      </c>
      <c r="G66" s="1433" t="s">
        <v>18</v>
      </c>
      <c r="H66" s="1433" t="s">
        <v>1908</v>
      </c>
      <c r="I66" s="1430">
        <v>365503661</v>
      </c>
      <c r="J66" s="1430">
        <v>386417387</v>
      </c>
      <c r="K66" s="1430">
        <v>418706742</v>
      </c>
    </row>
    <row r="67" spans="1:11">
      <c r="A67" s="1423"/>
      <c r="B67" s="1423"/>
      <c r="C67" s="1423"/>
      <c r="D67" s="1423"/>
      <c r="E67" s="1423"/>
      <c r="F67" s="1423"/>
      <c r="G67" s="1423"/>
      <c r="H67" s="1423"/>
      <c r="I67" s="1423"/>
      <c r="J67" s="1423"/>
      <c r="K67" s="1423"/>
    </row>
  </sheetData>
  <pageMargins left="0.7" right="0.7" top="0.75" bottom="0.75" header="0.3" footer="0.3"/>
  <pageSetup scale="65" fitToHeight="0" orientation="landscape" horizontalDpi="1200" verticalDpi="1200"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A395C7"/>
    <pageSetUpPr fitToPage="1"/>
  </sheetPr>
  <dimension ref="A1:K141"/>
  <sheetViews>
    <sheetView topLeftCell="A68" workbookViewId="0">
      <selection activeCell="G75" sqref="G75"/>
    </sheetView>
  </sheetViews>
  <sheetFormatPr defaultRowHeight="15"/>
  <cols>
    <col min="1" max="1" width="7.5703125" customWidth="1"/>
    <col min="2" max="2" width="64.140625" customWidth="1"/>
    <col min="3" max="3" width="42.140625" customWidth="1"/>
    <col min="4" max="5" width="23.7109375" customWidth="1"/>
    <col min="6" max="6" width="21.140625" customWidth="1"/>
    <col min="7" max="7" width="57.5703125" customWidth="1"/>
    <col min="8" max="8" width="23.7109375" customWidth="1"/>
    <col min="9" max="9" width="52" bestFit="1" customWidth="1"/>
    <col min="10" max="10" width="57.42578125" bestFit="1" customWidth="1"/>
    <col min="11" max="11" width="22.7109375" customWidth="1"/>
  </cols>
  <sheetData>
    <row r="1" spans="1:11" ht="28.5" customHeight="1" thickBot="1">
      <c r="A1" s="2003" t="s">
        <v>1350</v>
      </c>
      <c r="B1" s="2004"/>
      <c r="C1" s="2004"/>
      <c r="D1" s="2004"/>
      <c r="E1" s="2004"/>
      <c r="F1" s="2004"/>
      <c r="G1" s="2004"/>
      <c r="H1" s="2004"/>
      <c r="I1" s="2004"/>
      <c r="J1" s="2005"/>
    </row>
    <row r="4" spans="1:11" ht="15.75" thickBot="1">
      <c r="A4" s="1360" t="s">
        <v>1351</v>
      </c>
    </row>
    <row r="5" spans="1:11" ht="27" thickBot="1">
      <c r="A5" s="1361" t="s">
        <v>306</v>
      </c>
      <c r="B5" s="1362" t="s">
        <v>1352</v>
      </c>
      <c r="C5" s="1362" t="s">
        <v>1353</v>
      </c>
      <c r="D5" s="1363"/>
      <c r="E5" s="1363" t="s">
        <v>1354</v>
      </c>
      <c r="F5" s="1363" t="s">
        <v>787</v>
      </c>
      <c r="G5" s="1361" t="s">
        <v>1355</v>
      </c>
      <c r="H5" s="1363" t="s">
        <v>1356</v>
      </c>
      <c r="I5" s="1361" t="s">
        <v>1357</v>
      </c>
      <c r="J5" s="1363" t="s">
        <v>6</v>
      </c>
    </row>
    <row r="6" spans="1:11">
      <c r="A6" s="882"/>
    </row>
    <row r="7" spans="1:11">
      <c r="A7" s="1364">
        <v>1</v>
      </c>
      <c r="B7" s="1365" t="s">
        <v>1358</v>
      </c>
      <c r="C7" s="1434" t="str">
        <f ca="1">OFFSET(INDIRECT(G7),0,-5)</f>
        <v>Debt Cost</v>
      </c>
      <c r="D7" s="1435"/>
      <c r="E7" s="1366">
        <v>9.8000000000000004E-2</v>
      </c>
      <c r="F7" s="1364" t="s">
        <v>1359</v>
      </c>
      <c r="G7" s="1439" t="s">
        <v>1360</v>
      </c>
      <c r="H7" s="1440" t="str">
        <f ca="1">"Line "&amp;OFFSET(INDIRECT(G7),0,-7)</f>
        <v>Line 120</v>
      </c>
      <c r="I7" s="1441" t="s">
        <v>350</v>
      </c>
      <c r="J7" s="1463" t="s">
        <v>1361</v>
      </c>
    </row>
    <row r="8" spans="1:11">
      <c r="A8" s="1364">
        <f>A7+1</f>
        <v>2</v>
      </c>
      <c r="B8" s="1365" t="s">
        <v>1362</v>
      </c>
      <c r="C8" s="1434" t="str">
        <f>'Att 7 - Trans Enhance Charge'!$C$23</f>
        <v>Increased ROE (basis points)</v>
      </c>
      <c r="D8" s="1436"/>
      <c r="E8" s="1367">
        <v>50</v>
      </c>
      <c r="F8" s="1364" t="s">
        <v>1359</v>
      </c>
      <c r="G8" s="1442" t="s">
        <v>1363</v>
      </c>
      <c r="H8" s="1443" t="str">
        <f>"Row "&amp;ROW('Att 7 - Trans Enhance Charge'!C23)</f>
        <v>Row 23</v>
      </c>
      <c r="I8" s="1441" t="s">
        <v>1364</v>
      </c>
      <c r="J8" s="1463" t="s">
        <v>1365</v>
      </c>
    </row>
    <row r="9" spans="1:11" ht="38.25">
      <c r="A9" s="1368">
        <f>A8+1</f>
        <v>3</v>
      </c>
      <c r="B9" s="1369" t="s">
        <v>762</v>
      </c>
      <c r="C9" s="1437" t="str">
        <f>'Att 3 - Revenue Credits'!B41</f>
        <v>Common pole location fixed annual revenue credit</v>
      </c>
      <c r="D9" s="1438"/>
      <c r="E9" s="1370">
        <f>12*46314</f>
        <v>555768</v>
      </c>
      <c r="F9" s="1368" t="s">
        <v>1359</v>
      </c>
      <c r="G9" s="1444" t="s">
        <v>1366</v>
      </c>
      <c r="H9" s="1445" t="str">
        <f>"Row "&amp;ROW('Att 3 - Revenue Credits'!E41)</f>
        <v>Row 41</v>
      </c>
      <c r="I9" s="1446" t="s">
        <v>1367</v>
      </c>
      <c r="J9" s="1464" t="s">
        <v>1368</v>
      </c>
      <c r="K9" s="1371"/>
    </row>
    <row r="10" spans="1:11">
      <c r="A10" s="1364">
        <v>4</v>
      </c>
      <c r="B10" s="1365" t="s">
        <v>1369</v>
      </c>
      <c r="C10" s="1434" t="str">
        <f ca="1">OFFSET(INDIRECT(G10),0,-5)</f>
        <v>Operation &amp; Maintenance Expense</v>
      </c>
      <c r="D10" s="1436"/>
      <c r="E10" s="1372">
        <v>0</v>
      </c>
      <c r="F10" s="1364" t="s">
        <v>1359</v>
      </c>
      <c r="G10" s="1447" t="s">
        <v>1370</v>
      </c>
      <c r="H10" s="1448" t="str">
        <f ca="1">"Line "&amp;OFFSET(INDIRECT(G10),0,-7)</f>
        <v>Line 47</v>
      </c>
      <c r="I10" s="1441" t="s">
        <v>350</v>
      </c>
      <c r="J10" s="1463" t="s">
        <v>1371</v>
      </c>
    </row>
    <row r="13" spans="1:11" ht="15.75" thickBot="1">
      <c r="A13" s="1373" t="s">
        <v>1372</v>
      </c>
    </row>
    <row r="14" spans="1:11" ht="27" thickBot="1">
      <c r="A14" s="1361" t="s">
        <v>306</v>
      </c>
      <c r="B14" s="1362" t="s">
        <v>1352</v>
      </c>
      <c r="C14" s="1362" t="s">
        <v>1353</v>
      </c>
      <c r="D14" s="1361" t="str">
        <f>data_year-1&amp;" year-end balance"</f>
        <v>2023 year-end balance</v>
      </c>
      <c r="E14" s="1361" t="str">
        <f>data_year&amp;" year-end balance"</f>
        <v>2024 year-end balance</v>
      </c>
      <c r="F14" s="1363" t="s">
        <v>1373</v>
      </c>
      <c r="G14" s="1361" t="s">
        <v>1355</v>
      </c>
      <c r="H14" s="1361" t="s">
        <v>1374</v>
      </c>
      <c r="I14" s="1361" t="s">
        <v>1375</v>
      </c>
      <c r="J14" s="1361" t="s">
        <v>6</v>
      </c>
    </row>
    <row r="15" spans="1:11" ht="15.75" thickBot="1">
      <c r="A15" s="1374">
        <v>0</v>
      </c>
      <c r="B15" s="1375" t="s">
        <v>1376</v>
      </c>
      <c r="C15" s="1376" t="s">
        <v>1377</v>
      </c>
      <c r="D15" s="1377" t="s">
        <v>1378</v>
      </c>
      <c r="E15" s="1377" t="s">
        <v>1379</v>
      </c>
      <c r="F15" s="1377" t="s">
        <v>1380</v>
      </c>
      <c r="G15" s="1377" t="s">
        <v>1381</v>
      </c>
      <c r="H15" s="1378" t="s">
        <v>1382</v>
      </c>
      <c r="I15" s="1379"/>
      <c r="J15" s="1380"/>
    </row>
    <row r="16" spans="1:11">
      <c r="A16" s="1381">
        <f>A15+1</f>
        <v>1</v>
      </c>
      <c r="B16" s="1382" t="str">
        <f>'Att 2 - Other Taxes'!$B$44</f>
        <v>Total Other Taxes</v>
      </c>
      <c r="C16" s="1383" t="str">
        <f>INDEX(FF1_INPUT,MATCH($F16,INDEX(FF1_INPUT,,6),0),MATCH(C$15,FF1_INPUT_columns,0))</f>
        <v>FERC 408.1  - Taxes Other than Income</v>
      </c>
      <c r="D16" s="1449">
        <f>INDEX(FF1_INPUT,MATCH($F16,INDEX(FF1_INPUT,,6),0),MATCH(data_year-1,FF1_INPUT_columns,0))</f>
        <v>215228266</v>
      </c>
      <c r="E16" s="1449">
        <f>INDEX(FF1_INPUT,MATCH($F16,INDEX(FF1_INPUT,,6),0),MATCH(data_year,FF1_INPUT_columns,0))</f>
        <v>217834522</v>
      </c>
      <c r="F16" s="1384" t="s">
        <v>689</v>
      </c>
      <c r="G16" s="1452" t="s">
        <v>1383</v>
      </c>
      <c r="H16" s="1453">
        <f ca="1">(INDIRECT(RIGHT(G16,LEN(G16)-1))-E16)</f>
        <v>0</v>
      </c>
      <c r="I16" s="1461" t="s">
        <v>1384</v>
      </c>
      <c r="J16" s="1462" t="s">
        <v>1385</v>
      </c>
    </row>
    <row r="17" spans="1:10">
      <c r="A17" s="1385">
        <f>A16+1</f>
        <v>2</v>
      </c>
      <c r="B17" s="1386" t="str">
        <f>'Att 5 - Cost Support'!C158</f>
        <v>Utility Investment Tax Credit Adj. - Net (411.4)</v>
      </c>
      <c r="C17" s="1383" t="str">
        <f>INDEX(FF1_INPUT,MATCH($F17,INDEX(FF1_INPUT,,6),0),MATCH(C$15,FF1_INPUT_columns,0))</f>
        <v>FERC 411.4 - Net ITC adjustment</v>
      </c>
      <c r="D17" s="1450">
        <f>INDEX(FF1_INPUT,MATCH($F17,INDEX(FF1_INPUT,,6),0),MATCH(data_year-1,FF1_INPUT_columns,0))</f>
        <v>-764880</v>
      </c>
      <c r="E17" s="1450">
        <f>INDEX(FF1_INPUT,MATCH($F17,INDEX(FF1_INPUT,,6),0),MATCH(data_year,FF1_INPUT_columns,0))</f>
        <v>-471299</v>
      </c>
      <c r="F17" s="1387" t="s">
        <v>852</v>
      </c>
      <c r="G17" s="1454" t="s">
        <v>2205</v>
      </c>
      <c r="H17" s="1455">
        <f ca="1">(INDIRECT(RIGHT(G17,LEN(G17)-1))-E17)</f>
        <v>0</v>
      </c>
      <c r="I17" s="1441" t="s">
        <v>1386</v>
      </c>
      <c r="J17" s="1459"/>
    </row>
    <row r="18" spans="1:10">
      <c r="A18" s="1385">
        <f t="shared" ref="A18:A81" si="0">A17+1</f>
        <v>3</v>
      </c>
      <c r="B18" s="1386" t="str">
        <f>'Att 10 - Acc Amort of PIS'!D13</f>
        <v>Attachment 5 input: Total Accumulated Amortization</v>
      </c>
      <c r="C18" s="1383" t="str">
        <f>INDEX(FF1_INPUT,MATCH($F18,INDEX(FF1_INPUT,,6),0),MATCH(C$15,FF1_INPUT_columns,0))</f>
        <v xml:space="preserve"> Amort of Other Utility Plant</v>
      </c>
      <c r="D18" s="1450">
        <f>INDEX(FF1_INPUT,MATCH($F18,INDEX(FF1_INPUT,,6),0),MATCH(data_year-1,FF1_INPUT_columns,0))</f>
        <v>781734972</v>
      </c>
      <c r="E18" s="1450">
        <f>INDEX(FF1_INPUT,MATCH($F18,INDEX(FF1_INPUT,,6),0),MATCH(data_year,FF1_INPUT_columns,0))</f>
        <v>843345230</v>
      </c>
      <c r="F18" s="1387" t="s">
        <v>830</v>
      </c>
      <c r="G18" s="1454" t="s">
        <v>1387</v>
      </c>
      <c r="H18" s="1455">
        <f ca="1">(INDIRECT(RIGHT(G18,LEN(G18)-1))--E18)</f>
        <v>3.9999961853027344E-2</v>
      </c>
      <c r="I18" s="1441" t="s">
        <v>1388</v>
      </c>
      <c r="J18" s="1459" t="s">
        <v>1389</v>
      </c>
    </row>
    <row r="19" spans="1:10">
      <c r="A19" s="1385">
        <f t="shared" si="0"/>
        <v>4</v>
      </c>
      <c r="B19" s="1388" t="s">
        <v>1390</v>
      </c>
      <c r="C19" s="1383" t="str">
        <f>INDEX(FF1_INPUT,MATCH($F19,INDEX(FF1_INPUT,,6),0),MATCH(C$15,FF1_INPUT_columns,0))</f>
        <v>Electric plant held for future use</v>
      </c>
      <c r="D19" s="1451">
        <f>INDEX(FF1_INPUT,MATCH($F19,INDEX(FF1_INPUT,,6),0),MATCH(data_year-1,FF1_INPUT_columns,0))</f>
        <v>14174575</v>
      </c>
      <c r="E19" s="1450">
        <f>INDEX(FF1_INPUT,MATCH($F19,INDEX(FF1_INPUT,,6),0),MATCH(data_year,FF1_INPUT_columns,0))</f>
        <v>11176145</v>
      </c>
      <c r="F19" s="1387" t="s">
        <v>862</v>
      </c>
      <c r="G19" s="1454" t="s">
        <v>1911</v>
      </c>
      <c r="H19" s="1455">
        <f ca="1">(INDIRECT(RIGHT(G19,LEN(G19)-1))-E19)</f>
        <v>-3.0000001192092896E-2</v>
      </c>
      <c r="I19" s="1441" t="s">
        <v>1391</v>
      </c>
      <c r="J19" s="1459" t="s">
        <v>1392</v>
      </c>
    </row>
    <row r="20" spans="1:10">
      <c r="A20" s="1385">
        <f t="shared" si="0"/>
        <v>5</v>
      </c>
      <c r="B20" s="1389"/>
      <c r="C20" s="1383"/>
      <c r="D20" s="1390"/>
      <c r="E20" s="1391"/>
      <c r="F20" s="1392"/>
      <c r="G20" s="1393"/>
      <c r="H20" s="1394"/>
      <c r="I20" s="1395"/>
      <c r="J20" s="1396"/>
    </row>
    <row r="21" spans="1:10">
      <c r="A21" s="1385">
        <f t="shared" si="0"/>
        <v>6</v>
      </c>
      <c r="B21" s="1383" t="str">
        <f>'Att 5 - Cost Support'!$C$41</f>
        <v>Intangible Plant In Service</v>
      </c>
      <c r="C21" s="1383" t="str">
        <f t="shared" ref="C21:C31" si="1">INDEX(FF1_INPUT,MATCH($F21,INDEX(FF1_INPUT,,6),0),MATCH(C$15,FF1_INPUT_columns,0))</f>
        <v>FERC 303 - Misc intangible plant (BoY)</v>
      </c>
      <c r="D21" s="1451">
        <f t="shared" ref="D21:D31" si="2">INDEX(FF1_INPUT,MATCH($F21,INDEX(FF1_INPUT,,6),0),MATCH(data_year-1,FF1_INPUT_columns,0))</f>
        <v>1128981210</v>
      </c>
      <c r="E21" s="1450">
        <f t="shared" ref="E21:E31" si="3">INDEX(FF1_INPUT,MATCH($F21,INDEX(FF1_INPUT,,6),0),MATCH(data_year,FF1_INPUT_columns,0))</f>
        <v>1133971846</v>
      </c>
      <c r="F21" s="1387" t="s">
        <v>809</v>
      </c>
      <c r="G21" s="1454" t="s">
        <v>1393</v>
      </c>
      <c r="H21" s="1455">
        <f ca="1">(INDIRECT(RIGHT(G21,LEN(G21)-1))-E21)</f>
        <v>0.30999994277954102</v>
      </c>
      <c r="I21" s="1460" t="s">
        <v>1394</v>
      </c>
      <c r="J21" s="1459" t="s">
        <v>1395</v>
      </c>
    </row>
    <row r="22" spans="1:10">
      <c r="A22" s="1385">
        <f t="shared" si="0"/>
        <v>7</v>
      </c>
      <c r="B22" s="1383" t="str">
        <f>'Att 5 - Cost Support'!$C$41</f>
        <v>Intangible Plant In Service</v>
      </c>
      <c r="C22" s="1383" t="str">
        <f t="shared" si="1"/>
        <v>FERC 303 - Misc intangible plant (EoY)</v>
      </c>
      <c r="D22" s="1451">
        <f t="shared" si="2"/>
        <v>1133971846</v>
      </c>
      <c r="E22" s="1450">
        <f t="shared" si="3"/>
        <v>1179847915</v>
      </c>
      <c r="F22" s="1387" t="s">
        <v>810</v>
      </c>
      <c r="G22" s="1454" t="s">
        <v>1396</v>
      </c>
      <c r="H22" s="1455">
        <f ca="1">(INDIRECT(RIGHT(G22,LEN(G22)-1))-E22)</f>
        <v>-0.34999990463256836</v>
      </c>
      <c r="I22" s="1460" t="s">
        <v>1394</v>
      </c>
      <c r="J22" s="1459" t="s">
        <v>1395</v>
      </c>
    </row>
    <row r="23" spans="1:10">
      <c r="A23" s="1385">
        <f t="shared" si="0"/>
        <v>8</v>
      </c>
      <c r="B23" s="1383" t="str">
        <f>'Att 5 - Cost Support'!$C$62</f>
        <v>Production Plant In Service</v>
      </c>
      <c r="C23" s="1383" t="str">
        <f t="shared" si="1"/>
        <v>Total production plant (BoY)</v>
      </c>
      <c r="D23" s="1451">
        <f t="shared" si="2"/>
        <v>13506299204</v>
      </c>
      <c r="E23" s="1450">
        <f t="shared" si="3"/>
        <v>13656624982</v>
      </c>
      <c r="F23" s="1387" t="s">
        <v>815</v>
      </c>
      <c r="G23" s="1454" t="s">
        <v>1397</v>
      </c>
      <c r="H23" s="1455">
        <f t="shared" ref="H23:H30" ca="1" si="4">(INDIRECT(RIGHT(G23,LEN(G23)-1))-E23)</f>
        <v>0.20999908447265625</v>
      </c>
      <c r="I23" s="1460" t="s">
        <v>1394</v>
      </c>
      <c r="J23" s="1459" t="s">
        <v>1395</v>
      </c>
    </row>
    <row r="24" spans="1:10">
      <c r="A24" s="1385">
        <f t="shared" si="0"/>
        <v>9</v>
      </c>
      <c r="B24" s="1383" t="str">
        <f>'Att 5 - Cost Support'!$C$62</f>
        <v>Production Plant In Service</v>
      </c>
      <c r="C24" s="1383" t="str">
        <f t="shared" si="1"/>
        <v>Total production plant (EoY)</v>
      </c>
      <c r="D24" s="1451">
        <f t="shared" si="2"/>
        <v>13656624982</v>
      </c>
      <c r="E24" s="1450">
        <f t="shared" si="3"/>
        <v>14070268662</v>
      </c>
      <c r="F24" s="1387" t="s">
        <v>816</v>
      </c>
      <c r="G24" s="1454" t="s">
        <v>1398</v>
      </c>
      <c r="H24" s="1455">
        <f t="shared" ca="1" si="4"/>
        <v>-0.26000213623046875</v>
      </c>
      <c r="I24" s="1460" t="s">
        <v>1394</v>
      </c>
      <c r="J24" s="1459" t="s">
        <v>1395</v>
      </c>
    </row>
    <row r="25" spans="1:10">
      <c r="A25" s="1385">
        <f t="shared" si="0"/>
        <v>10</v>
      </c>
      <c r="B25" s="1383" t="str">
        <f>'Att 5 - Cost Support'!$C$20</f>
        <v>Transmission Plant In Service</v>
      </c>
      <c r="C25" s="1383" t="str">
        <f t="shared" si="1"/>
        <v>Total transmission plant (BoY)</v>
      </c>
      <c r="D25" s="1451">
        <f t="shared" si="2"/>
        <v>8046307902</v>
      </c>
      <c r="E25" s="1450">
        <f t="shared" si="3"/>
        <v>8211445572</v>
      </c>
      <c r="F25" s="1387" t="s">
        <v>1865</v>
      </c>
      <c r="G25" s="1454" t="s">
        <v>1399</v>
      </c>
      <c r="H25" s="1455">
        <f t="shared" ca="1" si="4"/>
        <v>0.14000129699707031</v>
      </c>
      <c r="I25" s="1460" t="s">
        <v>1394</v>
      </c>
      <c r="J25" s="1459" t="s">
        <v>1395</v>
      </c>
    </row>
    <row r="26" spans="1:10">
      <c r="A26" s="1385">
        <f t="shared" si="0"/>
        <v>11</v>
      </c>
      <c r="B26" s="1383" t="str">
        <f>'Att 5 - Cost Support'!$C$20</f>
        <v>Transmission Plant In Service</v>
      </c>
      <c r="C26" s="1383" t="str">
        <f t="shared" si="1"/>
        <v>Total transmission plant (EoY)</v>
      </c>
      <c r="D26" s="1451">
        <f>INDEX(FF1_INPUT,MATCH($F26,INDEX(FF1_INPUT,,6),0),MATCH(data_year-1,FF1_INPUT_columns,0))</f>
        <v>8211445572</v>
      </c>
      <c r="E26" s="1450">
        <f t="shared" si="3"/>
        <v>10991371604</v>
      </c>
      <c r="F26" s="1387" t="s">
        <v>1866</v>
      </c>
      <c r="G26" s="1454" t="s">
        <v>1400</v>
      </c>
      <c r="H26" s="1455">
        <f t="shared" ca="1" si="4"/>
        <v>-0.3899993896484375</v>
      </c>
      <c r="I26" s="1460" t="s">
        <v>1394</v>
      </c>
      <c r="J26" s="1459" t="s">
        <v>1395</v>
      </c>
    </row>
    <row r="27" spans="1:10" ht="13.5" customHeight="1">
      <c r="A27" s="1385">
        <f t="shared" si="0"/>
        <v>12</v>
      </c>
      <c r="B27" s="1383" t="str">
        <f>'Att 5 - Cost Support'!$C$36</f>
        <v>Distribution Plant In Service</v>
      </c>
      <c r="C27" s="1383" t="str">
        <f t="shared" si="1"/>
        <v>Total distribution plant (BoY)</v>
      </c>
      <c r="D27" s="1451">
        <f t="shared" si="2"/>
        <v>8466404321</v>
      </c>
      <c r="E27" s="1450">
        <f t="shared" si="3"/>
        <v>9049257838</v>
      </c>
      <c r="F27" s="1387" t="s">
        <v>1867</v>
      </c>
      <c r="G27" s="1454" t="s">
        <v>1401</v>
      </c>
      <c r="H27" s="1455">
        <f t="shared" ca="1" si="4"/>
        <v>0.21999549865722656</v>
      </c>
      <c r="I27" s="1460" t="s">
        <v>1394</v>
      </c>
      <c r="J27" s="1459" t="s">
        <v>1395</v>
      </c>
    </row>
    <row r="28" spans="1:10">
      <c r="A28" s="1385">
        <f t="shared" si="0"/>
        <v>13</v>
      </c>
      <c r="B28" s="1383" t="str">
        <f>'Att 5 - Cost Support'!$C$36</f>
        <v>Distribution Plant In Service</v>
      </c>
      <c r="C28" s="1383" t="str">
        <f t="shared" si="1"/>
        <v>Total distribution plant (EoY)</v>
      </c>
      <c r="D28" s="1451">
        <f t="shared" si="2"/>
        <v>9049257838</v>
      </c>
      <c r="E28" s="1450">
        <f t="shared" si="3"/>
        <v>9832751087</v>
      </c>
      <c r="F28" s="1387" t="s">
        <v>1868</v>
      </c>
      <c r="G28" s="1454" t="s">
        <v>1402</v>
      </c>
      <c r="H28" s="1455">
        <f t="shared" ca="1" si="4"/>
        <v>0.470001220703125</v>
      </c>
      <c r="I28" s="1460" t="s">
        <v>1394</v>
      </c>
      <c r="J28" s="1459" t="s">
        <v>1395</v>
      </c>
    </row>
    <row r="29" spans="1:10">
      <c r="A29" s="1385">
        <f t="shared" si="0"/>
        <v>14</v>
      </c>
      <c r="B29" s="1383" t="str">
        <f>'Att 5 - Cost Support'!$C$46</f>
        <v>General Plant In Service</v>
      </c>
      <c r="C29" s="1383" t="str">
        <f t="shared" si="1"/>
        <v>Total general plant (BoY)</v>
      </c>
      <c r="D29" s="1451">
        <f t="shared" si="2"/>
        <v>1465275062</v>
      </c>
      <c r="E29" s="1450">
        <f t="shared" si="3"/>
        <v>1537122609</v>
      </c>
      <c r="F29" s="1387" t="s">
        <v>1869</v>
      </c>
      <c r="G29" s="1454" t="s">
        <v>1403</v>
      </c>
      <c r="H29" s="1455">
        <f t="shared" ca="1" si="4"/>
        <v>-6.999969482421875E-2</v>
      </c>
      <c r="I29" s="1460" t="s">
        <v>1394</v>
      </c>
      <c r="J29" s="1459" t="s">
        <v>1395</v>
      </c>
    </row>
    <row r="30" spans="1:10">
      <c r="A30" s="1385">
        <f t="shared" si="0"/>
        <v>15</v>
      </c>
      <c r="B30" s="1383" t="str">
        <f>'Att 5 - Cost Support'!$C$46</f>
        <v>General Plant In Service</v>
      </c>
      <c r="C30" s="1383" t="str">
        <f t="shared" si="1"/>
        <v>Total general plant (EoY)</v>
      </c>
      <c r="D30" s="1451">
        <f t="shared" si="2"/>
        <v>1537122609</v>
      </c>
      <c r="E30" s="1450">
        <f t="shared" si="3"/>
        <v>1620848652</v>
      </c>
      <c r="F30" s="1387" t="s">
        <v>1870</v>
      </c>
      <c r="G30" s="1454" t="s">
        <v>1404</v>
      </c>
      <c r="H30" s="1455">
        <f t="shared" ca="1" si="4"/>
        <v>0.74000000953674316</v>
      </c>
      <c r="I30" s="1460" t="s">
        <v>1394</v>
      </c>
      <c r="J30" s="1459" t="s">
        <v>1395</v>
      </c>
    </row>
    <row r="31" spans="1:10">
      <c r="A31" s="1385">
        <f t="shared" si="0"/>
        <v>16</v>
      </c>
      <c r="B31" s="1383" t="str">
        <f>'Att 5 - Cost Support'!C68</f>
        <v>Total Plant In Service</v>
      </c>
      <c r="C31" s="1383" t="str">
        <f t="shared" si="1"/>
        <v>Total electric plant in service (EoY)</v>
      </c>
      <c r="D31" s="1451">
        <f t="shared" si="2"/>
        <v>33588422847</v>
      </c>
      <c r="E31" s="1450">
        <f t="shared" si="3"/>
        <v>37695272576</v>
      </c>
      <c r="F31" s="1387" t="s">
        <v>1909</v>
      </c>
      <c r="G31" s="1454" t="s">
        <v>1405</v>
      </c>
      <c r="H31" s="1455">
        <f ca="1">IF(Toggle=Projection,(INDIRECT(RIGHT(G31,LEN(G31)-1))-E31),"n/m")</f>
        <v>-0.20000457763671875</v>
      </c>
      <c r="I31" s="1460" t="s">
        <v>1394</v>
      </c>
      <c r="J31" s="1459" t="s">
        <v>1406</v>
      </c>
    </row>
    <row r="32" spans="1:10">
      <c r="A32" s="1385">
        <f t="shared" si="0"/>
        <v>17</v>
      </c>
      <c r="B32" s="1383"/>
      <c r="C32" s="1383"/>
      <c r="D32" s="1390"/>
      <c r="E32" s="1391"/>
      <c r="F32" s="1392"/>
      <c r="G32" s="1393"/>
      <c r="H32" s="1394"/>
      <c r="I32" s="1397"/>
      <c r="J32" s="1396"/>
    </row>
    <row r="33" spans="1:10">
      <c r="A33" s="1385">
        <f t="shared" si="0"/>
        <v>18</v>
      </c>
      <c r="B33" s="1383" t="s">
        <v>1407</v>
      </c>
      <c r="C33" s="1383" t="str">
        <f>INDEX(FF1_INPUT,MATCH($F33,INDEX(FF1_INPUT,,6),0),MATCH(C$15,FF1_INPUT_columns,0))</f>
        <v>Electric Plant Purchased</v>
      </c>
      <c r="D33" s="1451">
        <f>INDEX(FF1_INPUT,MATCH($F33,INDEX(FF1_INPUT,,6),0),MATCH(data_year-1,FF1_INPUT_columns,0))</f>
        <v>0</v>
      </c>
      <c r="E33" s="1450">
        <f>INDEX(FF1_INPUT,MATCH($F33,INDEX(FF1_INPUT,,6),0),MATCH(data_year,FF1_INPUT_columns,0))</f>
        <v>0</v>
      </c>
      <c r="F33" s="1387" t="s">
        <v>1910</v>
      </c>
      <c r="G33" s="1454" t="s">
        <v>1408</v>
      </c>
      <c r="H33" s="2006">
        <f>E33-E34-'Att 5 - Cost Support'!G65</f>
        <v>0.41000000000349246</v>
      </c>
      <c r="I33" s="1460" t="s">
        <v>1394</v>
      </c>
      <c r="J33" s="1459" t="s">
        <v>1395</v>
      </c>
    </row>
    <row r="34" spans="1:10">
      <c r="A34" s="1385">
        <f t="shared" si="0"/>
        <v>19</v>
      </c>
      <c r="B34" s="1383" t="str">
        <f>'Att 5 - Cost Support'!$C$65</f>
        <v>Electric Plant Sold</v>
      </c>
      <c r="C34" s="1383" t="str">
        <f>INDEX(FF1_INPUT,MATCH($F34,INDEX(FF1_INPUT,,6),0),MATCH(C$15,FF1_INPUT_columns,0))</f>
        <v>Electric plant sold</v>
      </c>
      <c r="D34" s="1451">
        <f>INDEX(FF1_INPUT,MATCH($F34,INDEX(FF1_INPUT,,6),0),MATCH(data_year-1,FF1_INPUT_columns,0))</f>
        <v>0</v>
      </c>
      <c r="E34" s="1450">
        <f>INDEX(FF1_INPUT,MATCH($F34,INDEX(FF1_INPUT,,6),0),MATCH(data_year,FF1_INPUT_columns,0))</f>
        <v>-184656</v>
      </c>
      <c r="F34" s="1387" t="s">
        <v>1871</v>
      </c>
      <c r="G34" s="1454" t="s">
        <v>1409</v>
      </c>
      <c r="H34" s="2007"/>
      <c r="I34" s="1460" t="s">
        <v>1394</v>
      </c>
      <c r="J34" s="1459" t="s">
        <v>1395</v>
      </c>
    </row>
    <row r="35" spans="1:10">
      <c r="A35" s="1385">
        <f t="shared" si="0"/>
        <v>20</v>
      </c>
      <c r="B35" s="1383"/>
      <c r="C35" s="1383"/>
      <c r="D35" s="1390"/>
      <c r="E35" s="1391"/>
      <c r="F35" s="1392"/>
      <c r="G35" s="1393"/>
      <c r="H35" s="1394"/>
      <c r="I35" s="1395"/>
      <c r="J35" s="1396"/>
    </row>
    <row r="36" spans="1:10">
      <c r="A36" s="1385">
        <f t="shared" si="0"/>
        <v>21</v>
      </c>
      <c r="B36" s="1383" t="str">
        <f>'Att 5 - Cost Support'!C88</f>
        <v>Transmission Accumulated Depreciation</v>
      </c>
      <c r="C36" s="1383" t="str">
        <f>INDEX(FF1_INPUT,MATCH($F36,INDEX(FF1_INPUT,,6),0),MATCH(C$15,FF1_INPUT_columns,0))</f>
        <v>Accum Dep - Transmission</v>
      </c>
      <c r="D36" s="1451">
        <f>INDEX(FF1_INPUT,MATCH($F36,INDEX(FF1_INPUT,,6),0),MATCH(data_year-1,FF1_INPUT_columns,0))</f>
        <v>2258536003</v>
      </c>
      <c r="E36" s="1450">
        <f>INDEX(FF1_INPUT,MATCH($F36,INDEX(FF1_INPUT,,6),0),MATCH(data_year,FF1_INPUT_columns,0))</f>
        <v>2378284253</v>
      </c>
      <c r="F36" s="1387" t="s">
        <v>823</v>
      </c>
      <c r="G36" s="1454" t="s">
        <v>1410</v>
      </c>
      <c r="H36" s="1455">
        <f ca="1">(INDIRECT(RIGHT(G36,LEN(G36)-1))-E36)</f>
        <v>0.60000038146972656</v>
      </c>
      <c r="I36" s="1460" t="s">
        <v>1394</v>
      </c>
      <c r="J36" s="1459" t="s">
        <v>1395</v>
      </c>
    </row>
    <row r="37" spans="1:10">
      <c r="A37" s="1385">
        <f t="shared" si="0"/>
        <v>22</v>
      </c>
      <c r="B37" s="1383" t="str">
        <f>'Att 5 - Cost Support'!C104</f>
        <v>Distribution Accumulated Depreciation</v>
      </c>
      <c r="C37" s="1383" t="str">
        <f>INDEX(FF1_INPUT,MATCH($F37,INDEX(FF1_INPUT,,6),0),MATCH(C$15,FF1_INPUT_columns,0))</f>
        <v>Accum Dep - Distribution</v>
      </c>
      <c r="D37" s="1451">
        <f>INDEX(FF1_INPUT,MATCH($F37,INDEX(FF1_INPUT,,6),0),MATCH(data_year-1,FF1_INPUT_columns,0))</f>
        <v>3342434416</v>
      </c>
      <c r="E37" s="1450">
        <f>INDEX(FF1_INPUT,MATCH($F37,INDEX(FF1_INPUT,,6),0),MATCH(data_year,FF1_INPUT_columns,0))</f>
        <v>3470803802</v>
      </c>
      <c r="F37" s="1387" t="s">
        <v>826</v>
      </c>
      <c r="G37" s="1454" t="s">
        <v>1411</v>
      </c>
      <c r="H37" s="1455">
        <f ca="1">(INDIRECT(RIGHT(G37,LEN(G37)-1))-E37)</f>
        <v>-0.44999980926513672</v>
      </c>
      <c r="I37" s="1460" t="s">
        <v>1394</v>
      </c>
      <c r="J37" s="1459" t="s">
        <v>1395</v>
      </c>
    </row>
    <row r="38" spans="1:10">
      <c r="A38" s="1385">
        <f t="shared" si="0"/>
        <v>23</v>
      </c>
      <c r="B38" s="1383" t="str">
        <f>'Att 5 - Cost Support'!C109</f>
        <v>Accumulated Intangible Depreciation</v>
      </c>
      <c r="C38" s="1398" t="str">
        <f>INDEX(FF1_INPUT,MATCH($F38,INDEX(FF1_INPUT,,6),0),MATCH(C$15,FF1_INPUT_columns,0))</f>
        <v xml:space="preserve"> Amort of Other Utility Plant</v>
      </c>
      <c r="D38" s="1451">
        <f>INDEX(FF1_INPUT,MATCH($F38,INDEX(FF1_INPUT,,6),0),MATCH(data_year-1,FF1_INPUT_columns,0))</f>
        <v>781734972</v>
      </c>
      <c r="E38" s="1450">
        <f>INDEX(FF1_INPUT,MATCH($F38,INDEX(FF1_INPUT,,6),0),MATCH(data_year,FF1_INPUT_columns,0))</f>
        <v>843345230</v>
      </c>
      <c r="F38" s="1387" t="s">
        <v>830</v>
      </c>
      <c r="G38" s="1454" t="s">
        <v>1412</v>
      </c>
      <c r="H38" s="1455">
        <f ca="1">(INDIRECT(RIGHT(G38,LEN(G38)-1))-E38)</f>
        <v>-3.9999961853027344E-2</v>
      </c>
      <c r="I38" s="1460" t="s">
        <v>1394</v>
      </c>
      <c r="J38" s="1459" t="s">
        <v>1395</v>
      </c>
    </row>
    <row r="39" spans="1:10">
      <c r="A39" s="1385">
        <f t="shared" si="0"/>
        <v>24</v>
      </c>
      <c r="B39" s="1383" t="str">
        <f>'Att 5 - Cost Support'!C114</f>
        <v>Accumulated General Depreciation</v>
      </c>
      <c r="C39" s="1383" t="str">
        <f>INDEX(FF1_INPUT,MATCH($F39,INDEX(FF1_INPUT,,6),0),MATCH(C$15,FF1_INPUT_columns,0))</f>
        <v>Accum Dep - General</v>
      </c>
      <c r="D39" s="1451">
        <f>INDEX(FF1_INPUT,MATCH($F39,INDEX(FF1_INPUT,,6),0),MATCH(data_year-1,FF1_INPUT_columns,0))</f>
        <v>579316418</v>
      </c>
      <c r="E39" s="1450">
        <f>INDEX(FF1_INPUT,MATCH($F39,INDEX(FF1_INPUT,,6),0),MATCH(data_year,FF1_INPUT_columns,0))</f>
        <v>615054360</v>
      </c>
      <c r="F39" s="1387" t="s">
        <v>834</v>
      </c>
      <c r="G39" s="1454" t="s">
        <v>1413</v>
      </c>
      <c r="H39" s="1455">
        <f ca="1">(INDIRECT(RIGHT(G39,LEN(G39)-1))-E39)</f>
        <v>-2.9999971389770508E-2</v>
      </c>
      <c r="I39" s="1460" t="s">
        <v>1394</v>
      </c>
      <c r="J39" s="1459" t="s">
        <v>1395</v>
      </c>
    </row>
    <row r="40" spans="1:10">
      <c r="A40" s="1385">
        <f t="shared" si="0"/>
        <v>25</v>
      </c>
      <c r="B40" s="1383"/>
      <c r="C40" s="1383"/>
      <c r="D40" s="1390"/>
      <c r="E40" s="1391"/>
      <c r="F40" s="1392"/>
      <c r="G40" s="1393"/>
      <c r="H40" s="1399"/>
      <c r="I40" s="1395"/>
      <c r="J40" s="1396"/>
    </row>
    <row r="41" spans="1:10">
      <c r="A41" s="1385">
        <f t="shared" si="0"/>
        <v>26</v>
      </c>
      <c r="B41" s="1383"/>
      <c r="C41" s="1383" t="str">
        <f>INDEX(FF1_INPUT,MATCH($F41,INDEX(FF1_INPUT,,6),0),MATCH(C$15,FF1_INPUT_columns,0))</f>
        <v>Accum Dep - Steam production</v>
      </c>
      <c r="D41" s="1451">
        <f>INDEX(FF1_INPUT,MATCH($F41,INDEX(FF1_INPUT,,6),0),MATCH(data_year-1,FF1_INPUT_columns,0))</f>
        <v>4617706639</v>
      </c>
      <c r="E41" s="1450">
        <f>INDEX(FF1_INPUT,MATCH($F41,INDEX(FF1_INPUT,,6),0),MATCH(data_year,FF1_INPUT_columns,0))</f>
        <v>4940134758</v>
      </c>
      <c r="F41" s="1387" t="s">
        <v>1414</v>
      </c>
      <c r="G41" s="1393"/>
      <c r="H41" s="1399"/>
      <c r="I41" s="1395"/>
      <c r="J41" s="1459" t="s">
        <v>1415</v>
      </c>
    </row>
    <row r="42" spans="1:10">
      <c r="A42" s="1385">
        <f t="shared" si="0"/>
        <v>27</v>
      </c>
      <c r="B42" s="1383"/>
      <c r="C42" s="1383" t="str">
        <f>INDEX(FF1_INPUT,MATCH($F42,INDEX(FF1_INPUT,,6),0),MATCH(C$15,FF1_INPUT_columns,0))</f>
        <v>Accum Dep - Nuclear production</v>
      </c>
      <c r="D42" s="1451">
        <f>INDEX(FF1_INPUT,MATCH($F42,INDEX(FF1_INPUT,,6),0),MATCH(data_year-1,FF1_INPUT_columns,0))</f>
        <v>0</v>
      </c>
      <c r="E42" s="1450">
        <f>INDEX(FF1_INPUT,MATCH($F42,INDEX(FF1_INPUT,,6),0),MATCH(data_year,FF1_INPUT_columns,0))</f>
        <v>0</v>
      </c>
      <c r="F42" s="1387" t="s">
        <v>1416</v>
      </c>
      <c r="G42" s="1393"/>
      <c r="H42" s="1399"/>
      <c r="I42" s="1395"/>
      <c r="J42" s="1459" t="s">
        <v>1415</v>
      </c>
    </row>
    <row r="43" spans="1:10">
      <c r="A43" s="1385">
        <f t="shared" si="0"/>
        <v>28</v>
      </c>
      <c r="B43" s="1383"/>
      <c r="C43" s="1383" t="str">
        <f>INDEX(FF1_INPUT,MATCH($F43,INDEX(FF1_INPUT,,6),0),MATCH(C$15,FF1_INPUT_columns,0))</f>
        <v>Accum Dep - Hydro (conventional) production</v>
      </c>
      <c r="D43" s="1451">
        <f>INDEX(FF1_INPUT,MATCH($F43,INDEX(FF1_INPUT,,6),0),MATCH(data_year-1,FF1_INPUT_columns,0))</f>
        <v>466792292</v>
      </c>
      <c r="E43" s="1450">
        <f>INDEX(FF1_INPUT,MATCH($F43,INDEX(FF1_INPUT,,6),0),MATCH(data_year,FF1_INPUT_columns,0))</f>
        <v>481699816</v>
      </c>
      <c r="F43" s="1387" t="s">
        <v>1417</v>
      </c>
      <c r="G43" s="1393"/>
      <c r="H43" s="1399"/>
      <c r="I43" s="1395"/>
      <c r="J43" s="1459" t="s">
        <v>1415</v>
      </c>
    </row>
    <row r="44" spans="1:10">
      <c r="A44" s="1385">
        <f t="shared" si="0"/>
        <v>29</v>
      </c>
      <c r="B44" s="1383"/>
      <c r="C44" s="1383" t="str">
        <f>INDEX(FF1_INPUT,MATCH($F44,INDEX(FF1_INPUT,,6),0),MATCH(C$15,FF1_INPUT_columns,0))</f>
        <v>Accum Dep - Hydro (pumped storage) production</v>
      </c>
      <c r="D44" s="1451">
        <f>INDEX(FF1_INPUT,MATCH($F44,INDEX(FF1_INPUT,,6),0),MATCH(data_year-1,FF1_INPUT_columns,0))</f>
        <v>0</v>
      </c>
      <c r="E44" s="1450">
        <f>INDEX(FF1_INPUT,MATCH($F44,INDEX(FF1_INPUT,,6),0),MATCH(data_year,FF1_INPUT_columns,0))</f>
        <v>0</v>
      </c>
      <c r="F44" s="1387" t="s">
        <v>1418</v>
      </c>
      <c r="G44" s="1393"/>
      <c r="H44" s="1399"/>
      <c r="I44" s="1395"/>
      <c r="J44" s="1459" t="s">
        <v>1415</v>
      </c>
    </row>
    <row r="45" spans="1:10">
      <c r="A45" s="1385">
        <f t="shared" si="0"/>
        <v>30</v>
      </c>
      <c r="B45" s="1383"/>
      <c r="C45" s="1383" t="str">
        <f>INDEX(FF1_INPUT,MATCH($F45,INDEX(FF1_INPUT,,6),0),MATCH(C$15,FF1_INPUT_columns,0))</f>
        <v>Accum Dep - Other production</v>
      </c>
      <c r="D45" s="1451">
        <f>INDEX(FF1_INPUT,MATCH($F45,INDEX(FF1_INPUT,,6),0),MATCH(data_year-1,FF1_INPUT_columns,0))</f>
        <v>760981107</v>
      </c>
      <c r="E45" s="1450">
        <f>INDEX(FF1_INPUT,MATCH($F45,INDEX(FF1_INPUT,,6),0),MATCH(data_year,FF1_INPUT_columns,0))</f>
        <v>953112482</v>
      </c>
      <c r="F45" s="1387" t="s">
        <v>1419</v>
      </c>
      <c r="G45" s="1393"/>
      <c r="H45" s="1399"/>
      <c r="I45" s="1395"/>
      <c r="J45" s="1459" t="s">
        <v>1415</v>
      </c>
    </row>
    <row r="46" spans="1:10">
      <c r="A46" s="1385">
        <f t="shared" si="0"/>
        <v>31</v>
      </c>
      <c r="B46" s="1383" t="str">
        <f>'Att 5 - Cost Support'!$C$130</f>
        <v>Production Accumulated Depreciation</v>
      </c>
      <c r="C46" s="1383"/>
      <c r="D46" s="1456">
        <f>SUM(D41:D45)</f>
        <v>5845480038</v>
      </c>
      <c r="E46" s="1456">
        <f>SUM(E41:E45)</f>
        <v>6374947056</v>
      </c>
      <c r="F46" s="1387" t="s">
        <v>837</v>
      </c>
      <c r="G46" s="1454" t="s">
        <v>1420</v>
      </c>
      <c r="H46" s="1457">
        <f ca="1">(INDIRECT(RIGHT(G46,LEN(G46)-1))-E46)</f>
        <v>0.32999992370605469</v>
      </c>
      <c r="I46" s="1460" t="s">
        <v>1394</v>
      </c>
      <c r="J46" s="1459" t="s">
        <v>1421</v>
      </c>
    </row>
    <row r="47" spans="1:10">
      <c r="A47" s="1385">
        <f t="shared" si="0"/>
        <v>32</v>
      </c>
      <c r="B47" s="1383"/>
      <c r="C47" s="1383"/>
      <c r="D47" s="1390"/>
      <c r="E47" s="1391"/>
      <c r="F47" s="1392"/>
      <c r="G47" s="1393"/>
      <c r="H47" s="1399"/>
      <c r="I47" s="1395"/>
      <c r="J47" s="1396"/>
    </row>
    <row r="48" spans="1:10">
      <c r="A48" s="1385">
        <f t="shared" si="0"/>
        <v>33</v>
      </c>
      <c r="B48" s="1386" t="str">
        <f>'Att 5 - Cost Support'!C145</f>
        <v>Construction Materials &amp; Supplies</v>
      </c>
      <c r="C48" s="1383" t="str">
        <f>INDEX(FF1_INPUT,MATCH($F48,INDEX(FF1_INPUT,,6),0),MATCH(C$15,FF1_INPUT_columns,0))</f>
        <v>Materials and supplies - est construction (EoY)</v>
      </c>
      <c r="D48" s="1451">
        <f>INDEX(FF1_INPUT,MATCH($F48,INDEX(FF1_INPUT,,6),0),MATCH(data_year-1,FF1_INPUT_columns,0))</f>
        <v>336602638</v>
      </c>
      <c r="E48" s="1450">
        <f>INDEX(FF1_INPUT,MATCH($F48,INDEX(FF1_INPUT,,6),0),MATCH(data_year,FF1_INPUT_columns,0))</f>
        <v>422879240</v>
      </c>
      <c r="F48" s="1400" t="s">
        <v>846</v>
      </c>
      <c r="G48" s="1454" t="s">
        <v>1422</v>
      </c>
      <c r="H48" s="1457">
        <f t="shared" ref="H48:H53" ca="1" si="5">(INDIRECT(RIGHT(G48,LEN(G48)-1))-E48)</f>
        <v>0</v>
      </c>
      <c r="I48" s="1441" t="s">
        <v>1386</v>
      </c>
      <c r="J48" s="1459" t="s">
        <v>1423</v>
      </c>
    </row>
    <row r="49" spans="1:10">
      <c r="A49" s="1385">
        <f t="shared" si="0"/>
        <v>34</v>
      </c>
      <c r="B49" s="1386" t="str">
        <f>'Att 5 - Cost Support'!C149</f>
        <v>Transmission Materials &amp; Supplies</v>
      </c>
      <c r="C49" s="1383" t="str">
        <f>INDEX(FF1_INPUT,MATCH($F49,INDEX(FF1_INPUT,,6),0),MATCH(C$15,FF1_INPUT_columns,0))</f>
        <v>Materials and supplies - transmission (EoY)</v>
      </c>
      <c r="D49" s="1451">
        <f>INDEX(FF1_INPUT,MATCH($F49,INDEX(FF1_INPUT,,6),0),MATCH(data_year-1,FF1_INPUT_columns,0))</f>
        <v>1657571</v>
      </c>
      <c r="E49" s="1450">
        <f>INDEX(FF1_INPUT,MATCH($F49,INDEX(FF1_INPUT,,6),0),MATCH(data_year,FF1_INPUT_columns,0))</f>
        <v>1871312</v>
      </c>
      <c r="F49" s="1400" t="s">
        <v>847</v>
      </c>
      <c r="G49" s="1454" t="s">
        <v>1424</v>
      </c>
      <c r="H49" s="1457">
        <f t="shared" ca="1" si="5"/>
        <v>0</v>
      </c>
      <c r="I49" s="1441" t="s">
        <v>1386</v>
      </c>
      <c r="J49" s="1459" t="s">
        <v>1423</v>
      </c>
    </row>
    <row r="50" spans="1:10">
      <c r="A50" s="1385">
        <f t="shared" si="0"/>
        <v>35</v>
      </c>
      <c r="B50" s="1386" t="str">
        <f>'Att 5 - Cost Support'!C141</f>
        <v>Undistributed Stores Expense</v>
      </c>
      <c r="C50" s="1383" t="str">
        <f>INDEX(FF1_INPUT,MATCH($F50,INDEX(FF1_INPUT,,6),0),MATCH(C$15,FF1_INPUT_columns,0))</f>
        <v>FERC 163 - Undistributed stores expense</v>
      </c>
      <c r="D50" s="1451">
        <f>INDEX(FF1_INPUT,MATCH($F50,INDEX(FF1_INPUT,,6),0),MATCH(data_year-1,FF1_INPUT_columns,0))</f>
        <v>0</v>
      </c>
      <c r="E50" s="1450">
        <f>INDEX(FF1_INPUT,MATCH($F50,INDEX(FF1_INPUT,,6),0),MATCH(data_year,FF1_INPUT_columns,0))</f>
        <v>0</v>
      </c>
      <c r="F50" s="1400" t="s">
        <v>843</v>
      </c>
      <c r="G50" s="1454" t="s">
        <v>1425</v>
      </c>
      <c r="H50" s="1457">
        <f t="shared" ca="1" si="5"/>
        <v>0</v>
      </c>
      <c r="I50" s="1441" t="s">
        <v>1386</v>
      </c>
      <c r="J50" s="1459" t="s">
        <v>1423</v>
      </c>
    </row>
    <row r="51" spans="1:10">
      <c r="A51" s="1385">
        <f t="shared" si="0"/>
        <v>36</v>
      </c>
      <c r="B51" s="1386"/>
      <c r="C51" s="1383"/>
      <c r="D51" s="1390"/>
      <c r="E51" s="1391"/>
      <c r="F51" s="1395"/>
      <c r="G51" s="1393"/>
      <c r="H51" s="1401"/>
      <c r="I51" s="1395"/>
      <c r="J51" s="1396"/>
    </row>
    <row r="52" spans="1:10">
      <c r="A52" s="1385">
        <f t="shared" si="0"/>
        <v>37</v>
      </c>
      <c r="B52" s="1386" t="s">
        <v>1426</v>
      </c>
      <c r="C52" s="1383" t="str">
        <f t="shared" ref="C52:C59" si="6">INDEX(FF1_INPUT,MATCH($F52,INDEX(FF1_INPUT,,6),0),MATCH(C$15,FF1_INPUT_columns,0))</f>
        <v>FERC 190 - ADIT (BoY)</v>
      </c>
      <c r="D52" s="1451">
        <f t="shared" ref="D52:D59" si="7">INDEX(FF1_INPUT,MATCH($F52,INDEX(FF1_INPUT,,6),0),MATCH(data_year-1,FF1_INPUT_columns,0))</f>
        <v>695784538</v>
      </c>
      <c r="E52" s="1458">
        <f t="shared" ref="E52:E59" si="8">INDEX(FF1_INPUT,MATCH($F52,INDEX(FF1_INPUT,,6),0),MATCH(data_year,FF1_INPUT_columns,0))</f>
        <v>928229377</v>
      </c>
      <c r="F52" s="1400" t="s">
        <v>1427</v>
      </c>
      <c r="G52" s="1454" t="s">
        <v>2264</v>
      </c>
      <c r="H52" s="1457">
        <f ca="1">(INDIRECT(RIGHT(G52,LEN(G52)-1))-E52)</f>
        <v>0</v>
      </c>
      <c r="I52" s="1441" t="s">
        <v>1428</v>
      </c>
      <c r="J52" s="1459" t="s">
        <v>1429</v>
      </c>
    </row>
    <row r="53" spans="1:10">
      <c r="A53" s="1385">
        <f t="shared" si="0"/>
        <v>38</v>
      </c>
      <c r="B53" s="1386" t="s">
        <v>1426</v>
      </c>
      <c r="C53" s="1383" t="str">
        <f t="shared" si="6"/>
        <v>FERC 190 - ADIT (EoY)</v>
      </c>
      <c r="D53" s="1451">
        <f t="shared" si="7"/>
        <v>928229377</v>
      </c>
      <c r="E53" s="1458">
        <f t="shared" si="8"/>
        <v>957142003</v>
      </c>
      <c r="F53" s="1400" t="s">
        <v>1430</v>
      </c>
      <c r="G53" s="1454" t="s">
        <v>2268</v>
      </c>
      <c r="H53" s="1457">
        <f t="shared" ca="1" si="5"/>
        <v>0</v>
      </c>
      <c r="I53" s="1441" t="s">
        <v>1431</v>
      </c>
      <c r="J53" s="1459" t="s">
        <v>1429</v>
      </c>
    </row>
    <row r="54" spans="1:10">
      <c r="A54" s="1385">
        <f t="shared" si="0"/>
        <v>39</v>
      </c>
      <c r="B54" s="1386" t="s">
        <v>1575</v>
      </c>
      <c r="C54" s="1383" t="str">
        <f t="shared" si="6"/>
        <v>FERC 281 - ADIT (BoY)</v>
      </c>
      <c r="D54" s="1451">
        <f t="shared" si="7"/>
        <v>134154544</v>
      </c>
      <c r="E54" s="1458">
        <f t="shared" si="8"/>
        <v>122977940</v>
      </c>
      <c r="F54" s="1400" t="s">
        <v>1432</v>
      </c>
      <c r="G54" s="1454" t="s">
        <v>2265</v>
      </c>
      <c r="H54" s="1457">
        <f t="shared" ref="H54:H59" ca="1" si="9">(INDIRECT(RIGHT(G54,LEN(G54)-1))--E54)</f>
        <v>0</v>
      </c>
      <c r="I54" s="1441" t="s">
        <v>1428</v>
      </c>
      <c r="J54" s="1459" t="s">
        <v>1433</v>
      </c>
    </row>
    <row r="55" spans="1:10">
      <c r="A55" s="1385">
        <f t="shared" si="0"/>
        <v>40</v>
      </c>
      <c r="B55" s="1386" t="s">
        <v>1575</v>
      </c>
      <c r="C55" s="1383" t="str">
        <f t="shared" si="6"/>
        <v>FERC 281 - ADIT (EoY)</v>
      </c>
      <c r="D55" s="1451">
        <f t="shared" si="7"/>
        <v>122977940</v>
      </c>
      <c r="E55" s="1458">
        <f t="shared" si="8"/>
        <v>111057724</v>
      </c>
      <c r="F55" s="1400" t="s">
        <v>1434</v>
      </c>
      <c r="G55" s="1454" t="s">
        <v>2269</v>
      </c>
      <c r="H55" s="1457">
        <f t="shared" ca="1" si="9"/>
        <v>1</v>
      </c>
      <c r="I55" s="1441" t="s">
        <v>1431</v>
      </c>
      <c r="J55" s="1459" t="s">
        <v>1433</v>
      </c>
    </row>
    <row r="56" spans="1:10">
      <c r="A56" s="1385">
        <f t="shared" si="0"/>
        <v>41</v>
      </c>
      <c r="B56" s="1386" t="s">
        <v>1576</v>
      </c>
      <c r="C56" s="1383" t="str">
        <f t="shared" si="6"/>
        <v>FERC 282 - ADIT (BoY)</v>
      </c>
      <c r="D56" s="1451">
        <f t="shared" si="7"/>
        <v>3180346057</v>
      </c>
      <c r="E56" s="1458">
        <f t="shared" si="8"/>
        <v>3253177664</v>
      </c>
      <c r="F56" s="1400" t="s">
        <v>1435</v>
      </c>
      <c r="G56" s="1454" t="s">
        <v>2266</v>
      </c>
      <c r="H56" s="1457">
        <f t="shared" ca="1" si="9"/>
        <v>0</v>
      </c>
      <c r="I56" s="1441" t="s">
        <v>1428</v>
      </c>
      <c r="J56" s="1459" t="s">
        <v>1433</v>
      </c>
    </row>
    <row r="57" spans="1:10">
      <c r="A57" s="1385">
        <f t="shared" si="0"/>
        <v>42</v>
      </c>
      <c r="B57" s="1386" t="s">
        <v>1577</v>
      </c>
      <c r="C57" s="1383" t="str">
        <f t="shared" si="6"/>
        <v>FERC 282 - ADIT (EoY)</v>
      </c>
      <c r="D57" s="1451">
        <f t="shared" si="7"/>
        <v>3253177664</v>
      </c>
      <c r="E57" s="1458">
        <f t="shared" si="8"/>
        <v>3345774488</v>
      </c>
      <c r="F57" s="1400" t="s">
        <v>1436</v>
      </c>
      <c r="G57" s="1454" t="s">
        <v>2270</v>
      </c>
      <c r="H57" s="1457">
        <f t="shared" ca="1" si="9"/>
        <v>0</v>
      </c>
      <c r="I57" s="1441" t="s">
        <v>1431</v>
      </c>
      <c r="J57" s="1459" t="s">
        <v>1433</v>
      </c>
    </row>
    <row r="58" spans="1:10">
      <c r="A58" s="1385">
        <f t="shared" si="0"/>
        <v>43</v>
      </c>
      <c r="B58" s="1386" t="s">
        <v>1578</v>
      </c>
      <c r="C58" s="1383" t="str">
        <f t="shared" si="6"/>
        <v>FERC 283 - ADIT (BoY)</v>
      </c>
      <c r="D58" s="1451">
        <f t="shared" si="7"/>
        <v>565331047</v>
      </c>
      <c r="E58" s="1458">
        <f t="shared" si="8"/>
        <v>675137414</v>
      </c>
      <c r="F58" s="1400" t="s">
        <v>1437</v>
      </c>
      <c r="G58" s="1454" t="s">
        <v>2267</v>
      </c>
      <c r="H58" s="1457">
        <f t="shared" ca="1" si="9"/>
        <v>0</v>
      </c>
      <c r="I58" s="1441" t="s">
        <v>1428</v>
      </c>
      <c r="J58" s="1459" t="s">
        <v>1433</v>
      </c>
    </row>
    <row r="59" spans="1:10">
      <c r="A59" s="1385">
        <f t="shared" si="0"/>
        <v>44</v>
      </c>
      <c r="B59" s="1386" t="s">
        <v>1578</v>
      </c>
      <c r="C59" s="1383" t="str">
        <f t="shared" si="6"/>
        <v>FERC 283 - ADIT (EoY)</v>
      </c>
      <c r="D59" s="1451">
        <f t="shared" si="7"/>
        <v>675137414</v>
      </c>
      <c r="E59" s="1458">
        <f t="shared" si="8"/>
        <v>765740745</v>
      </c>
      <c r="F59" s="1400" t="s">
        <v>1438</v>
      </c>
      <c r="G59" s="1454" t="s">
        <v>2271</v>
      </c>
      <c r="H59" s="1457">
        <f t="shared" ca="1" si="9"/>
        <v>0</v>
      </c>
      <c r="I59" s="1441" t="s">
        <v>1431</v>
      </c>
      <c r="J59" s="1459" t="s">
        <v>1433</v>
      </c>
    </row>
    <row r="60" spans="1:10">
      <c r="A60" s="1385">
        <f t="shared" si="0"/>
        <v>45</v>
      </c>
      <c r="B60" s="1365"/>
      <c r="C60" s="1383"/>
      <c r="D60" s="1390"/>
      <c r="E60" s="1402"/>
      <c r="F60" s="1395"/>
      <c r="G60" s="1393"/>
      <c r="H60" s="1399"/>
      <c r="I60" s="1395"/>
      <c r="J60" s="1396"/>
    </row>
    <row r="61" spans="1:10">
      <c r="A61" s="1385">
        <f t="shared" si="0"/>
        <v>46</v>
      </c>
      <c r="B61" s="1386" t="str">
        <f>'Att 5 - Cost Support'!C270</f>
        <v>(561) Load Dispatching</v>
      </c>
      <c r="C61" s="1383" t="str">
        <f t="shared" ref="C61:C67" si="10">INDEX(FF1_INPUT,MATCH($F61,INDEX(FF1_INPUT,,6),0),MATCH(C$15,FF1_INPUT_columns,0))</f>
        <v>FERC 561 - Load Dispatch (LD)</v>
      </c>
      <c r="D61" s="1451">
        <f t="shared" ref="D61:D67" si="11">INDEX(FF1_INPUT,MATCH($F61,INDEX(FF1_INPUT,,6),0),MATCH(data_year-1,FF1_INPUT_columns,0))</f>
        <v>0</v>
      </c>
      <c r="E61" s="1450">
        <f t="shared" ref="E61:E67" si="12">INDEX(FF1_INPUT,MATCH($F61,INDEX(FF1_INPUT,,6),0),MATCH(data_year,FF1_INPUT_columns,0))</f>
        <v>0</v>
      </c>
      <c r="F61" s="1400" t="s">
        <v>1873</v>
      </c>
      <c r="G61" s="1447" t="s">
        <v>2206</v>
      </c>
      <c r="H61" s="1457">
        <f ca="1">(INDIRECT(RIGHT(G61,LEN(G61)-1))-E61)</f>
        <v>0</v>
      </c>
      <c r="I61" s="1441" t="s">
        <v>1386</v>
      </c>
      <c r="J61" s="1459" t="s">
        <v>1439</v>
      </c>
    </row>
    <row r="62" spans="1:10">
      <c r="A62" s="1385">
        <f t="shared" si="0"/>
        <v>47</v>
      </c>
      <c r="B62" s="1386" t="str">
        <f>'Att 5 - Cost Support'!C271</f>
        <v>(561.1) Load Dispatch-Reliability</v>
      </c>
      <c r="C62" s="1383" t="str">
        <f t="shared" si="10"/>
        <v>FERC 561.1 - LD reliability</v>
      </c>
      <c r="D62" s="1451">
        <f t="shared" si="11"/>
        <v>0</v>
      </c>
      <c r="E62" s="1450">
        <f t="shared" si="12"/>
        <v>0</v>
      </c>
      <c r="F62" s="1400" t="s">
        <v>1860</v>
      </c>
      <c r="G62" s="1447" t="s">
        <v>2207</v>
      </c>
      <c r="H62" s="1457">
        <f t="shared" ref="H62:H80" ca="1" si="13">(INDIRECT(RIGHT(G62,LEN(G62)-1))-E62)</f>
        <v>0</v>
      </c>
      <c r="I62" s="1441" t="s">
        <v>1386</v>
      </c>
      <c r="J62" s="1459" t="s">
        <v>1439</v>
      </c>
    </row>
    <row r="63" spans="1:10">
      <c r="A63" s="1385">
        <f t="shared" si="0"/>
        <v>48</v>
      </c>
      <c r="B63" s="1386" t="str">
        <f>'Att 5 - Cost Support'!C272</f>
        <v>(561.2) Load Dispatch-Monitor and Operate Transmission System</v>
      </c>
      <c r="C63" s="1383" t="str">
        <f t="shared" si="10"/>
        <v>FERC 561.2 - LD monitor operate</v>
      </c>
      <c r="D63" s="1451">
        <f t="shared" si="11"/>
        <v>7195043</v>
      </c>
      <c r="E63" s="1450">
        <f t="shared" si="12"/>
        <v>8449519</v>
      </c>
      <c r="F63" s="1400" t="s">
        <v>1861</v>
      </c>
      <c r="G63" s="1447" t="s">
        <v>2208</v>
      </c>
      <c r="H63" s="1457">
        <f ca="1">(INDIRECT(RIGHT(G63,LEN(G63)-1))-E63)</f>
        <v>0</v>
      </c>
      <c r="I63" s="1441" t="s">
        <v>1386</v>
      </c>
      <c r="J63" s="1459" t="s">
        <v>1439</v>
      </c>
    </row>
    <row r="64" spans="1:10">
      <c r="A64" s="1385">
        <f t="shared" si="0"/>
        <v>49</v>
      </c>
      <c r="B64" s="1386" t="str">
        <f>'Att 5 - Cost Support'!C273</f>
        <v>(561.3) Load Dispatch-Transmission Service and Scheduling</v>
      </c>
      <c r="C64" s="1383" t="str">
        <f t="shared" si="10"/>
        <v>FERC 561.3 - LD service scheduling</v>
      </c>
      <c r="D64" s="1451">
        <f t="shared" si="11"/>
        <v>0</v>
      </c>
      <c r="E64" s="1450">
        <f t="shared" si="12"/>
        <v>0</v>
      </c>
      <c r="F64" s="1400" t="s">
        <v>1862</v>
      </c>
      <c r="G64" s="1447" t="s">
        <v>2209</v>
      </c>
      <c r="H64" s="1457">
        <f t="shared" ca="1" si="13"/>
        <v>0</v>
      </c>
      <c r="I64" s="1441" t="s">
        <v>1386</v>
      </c>
      <c r="J64" s="1459" t="s">
        <v>1439</v>
      </c>
    </row>
    <row r="65" spans="1:10">
      <c r="A65" s="1385">
        <f t="shared" si="0"/>
        <v>50</v>
      </c>
      <c r="B65" s="1386" t="str">
        <f>'Att 5 - Cost Support'!C274</f>
        <v>(561.4) Scheduling, System Control and Dispatch Services</v>
      </c>
      <c r="C65" s="1383" t="str">
        <f t="shared" si="10"/>
        <v>FERC 561.4 - Sched, sys control, dispatch</v>
      </c>
      <c r="D65" s="1451">
        <f t="shared" si="11"/>
        <v>909952</v>
      </c>
      <c r="E65" s="1450">
        <f t="shared" si="12"/>
        <v>832432</v>
      </c>
      <c r="F65" s="1400" t="s">
        <v>1863</v>
      </c>
      <c r="G65" s="1447" t="s">
        <v>2153</v>
      </c>
      <c r="H65" s="1457">
        <f t="shared" ca="1" si="13"/>
        <v>0</v>
      </c>
      <c r="I65" s="1441" t="s">
        <v>1386</v>
      </c>
      <c r="J65" s="1459" t="s">
        <v>1439</v>
      </c>
    </row>
    <row r="66" spans="1:10">
      <c r="A66" s="1385">
        <f t="shared" si="0"/>
        <v>51</v>
      </c>
      <c r="B66" s="1386" t="str">
        <f>'Att 5 - Cost Support'!C275</f>
        <v>(561.5) Reliability, Planning and Standards Development</v>
      </c>
      <c r="C66" s="1383" t="str">
        <f t="shared" si="10"/>
        <v>FERC 561.5 - Reliability, plan, standards</v>
      </c>
      <c r="D66" s="1451">
        <f t="shared" si="11"/>
        <v>3000366</v>
      </c>
      <c r="E66" s="1450">
        <f t="shared" si="12"/>
        <v>3114499</v>
      </c>
      <c r="F66" s="1400" t="s">
        <v>1864</v>
      </c>
      <c r="G66" s="1447" t="s">
        <v>2210</v>
      </c>
      <c r="H66" s="1457">
        <f ca="1">(INDIRECT(RIGHT(G66,LEN(G66)-1))-E66)</f>
        <v>0</v>
      </c>
      <c r="I66" s="1441" t="s">
        <v>1386</v>
      </c>
      <c r="J66" s="1459" t="s">
        <v>1439</v>
      </c>
    </row>
    <row r="67" spans="1:10">
      <c r="A67" s="1385">
        <f t="shared" si="0"/>
        <v>52</v>
      </c>
      <c r="B67" s="1386" t="str">
        <f>'Att 5 - Cost Support'!C278</f>
        <v xml:space="preserve">     Less: Account 565</v>
      </c>
      <c r="C67" s="1383" t="str">
        <f t="shared" si="10"/>
        <v>FERC 565  - Transmission by others</v>
      </c>
      <c r="D67" s="1451">
        <f t="shared" si="11"/>
        <v>165141904</v>
      </c>
      <c r="E67" s="1450">
        <f t="shared" si="12"/>
        <v>176350418</v>
      </c>
      <c r="F67" s="1400" t="s">
        <v>1874</v>
      </c>
      <c r="G67" s="1447" t="s">
        <v>2188</v>
      </c>
      <c r="H67" s="1457">
        <f t="shared" ca="1" si="13"/>
        <v>0</v>
      </c>
      <c r="I67" s="1441" t="s">
        <v>1386</v>
      </c>
      <c r="J67" s="1459" t="s">
        <v>1439</v>
      </c>
    </row>
    <row r="68" spans="1:10">
      <c r="A68" s="1385">
        <f t="shared" si="0"/>
        <v>53</v>
      </c>
      <c r="B68" s="1386"/>
      <c r="C68" s="1383"/>
      <c r="D68" s="1390"/>
      <c r="E68" s="1391"/>
      <c r="F68" s="1395"/>
      <c r="G68" s="1403"/>
      <c r="H68" s="1401"/>
      <c r="I68" s="1395"/>
      <c r="J68" s="1396"/>
    </row>
    <row r="69" spans="1:10">
      <c r="A69" s="1385">
        <f t="shared" si="0"/>
        <v>54</v>
      </c>
      <c r="B69" s="1386" t="str">
        <f>'Att 5 - Cost Support'!C267</f>
        <v>Transmission O&amp;M</v>
      </c>
      <c r="C69" s="1383" t="str">
        <f t="shared" ref="C69:C82" si="14">INDEX(FF1_INPUT,MATCH($F69,INDEX(FF1_INPUT,,6),0),MATCH(C$15,FF1_INPUT_columns,0))</f>
        <v>Total Transmission Expenses</v>
      </c>
      <c r="D69" s="1451">
        <f t="shared" ref="D69:D82" si="15">INDEX(FF1_INPUT,MATCH($F69,INDEX(FF1_INPUT,,6),0),MATCH(data_year-1,FF1_INPUT_columns,0))</f>
        <v>258593957</v>
      </c>
      <c r="E69" s="1450">
        <f t="shared" ref="E69:E82" si="16">INDEX(FF1_INPUT,MATCH($F69,INDEX(FF1_INPUT,,6),0),MATCH(data_year,FF1_INPUT_columns,0))</f>
        <v>272278523</v>
      </c>
      <c r="F69" s="1400" t="s">
        <v>1872</v>
      </c>
      <c r="G69" s="1447" t="s">
        <v>2211</v>
      </c>
      <c r="H69" s="1457">
        <f t="shared" ca="1" si="13"/>
        <v>0</v>
      </c>
      <c r="I69" s="1441" t="s">
        <v>1386</v>
      </c>
      <c r="J69" s="1459" t="s">
        <v>1439</v>
      </c>
    </row>
    <row r="70" spans="1:10">
      <c r="A70" s="1385">
        <f t="shared" si="0"/>
        <v>55</v>
      </c>
      <c r="B70" s="1386" t="str">
        <f>'Att 5 - Cost Support'!$C$223</f>
        <v>Property Insurance Account 924</v>
      </c>
      <c r="C70" s="1383" t="str">
        <f t="shared" si="14"/>
        <v>FERC 924 - Property Insurance</v>
      </c>
      <c r="D70" s="1451">
        <f t="shared" si="15"/>
        <v>5369323</v>
      </c>
      <c r="E70" s="1450">
        <f t="shared" si="16"/>
        <v>6538361</v>
      </c>
      <c r="F70" s="1400" t="s">
        <v>1857</v>
      </c>
      <c r="G70" s="1447" t="s">
        <v>2212</v>
      </c>
      <c r="H70" s="1457">
        <f t="shared" ca="1" si="13"/>
        <v>0</v>
      </c>
      <c r="I70" s="1441" t="s">
        <v>1386</v>
      </c>
      <c r="J70" s="1459" t="s">
        <v>1440</v>
      </c>
    </row>
    <row r="71" spans="1:10">
      <c r="A71" s="1385">
        <f t="shared" si="0"/>
        <v>56</v>
      </c>
      <c r="B71" s="1386" t="str">
        <f>'Appendix A'!$C$122</f>
        <v xml:space="preserve">    Less Regulatory Commission Exp Account 928</v>
      </c>
      <c r="C71" s="1383" t="str">
        <f t="shared" si="14"/>
        <v>FERC 928 - Regulatory Commission Expenses</v>
      </c>
      <c r="D71" s="1451">
        <f t="shared" si="15"/>
        <v>32148662</v>
      </c>
      <c r="E71" s="1450">
        <f t="shared" si="16"/>
        <v>35681963</v>
      </c>
      <c r="F71" s="1400" t="s">
        <v>1858</v>
      </c>
      <c r="G71" s="1447" t="s">
        <v>1441</v>
      </c>
      <c r="H71" s="1457">
        <f t="shared" ca="1" si="13"/>
        <v>0</v>
      </c>
      <c r="I71" s="1441" t="s">
        <v>350</v>
      </c>
      <c r="J71" s="1459" t="str">
        <f ca="1">"Line "&amp;OFFSET(INDIRECT(RIGHT(G71,LEN(G71)-1)),0,-7)</f>
        <v>Line 61</v>
      </c>
    </row>
    <row r="72" spans="1:10">
      <c r="A72" s="1385">
        <f t="shared" si="0"/>
        <v>57</v>
      </c>
      <c r="B72" s="1386" t="str">
        <f>'Appendix A'!$C$123</f>
        <v xml:space="preserve">    Less General Advertising Exp Account 930.1</v>
      </c>
      <c r="C72" s="1383" t="str">
        <f t="shared" si="14"/>
        <v>FERC 930.1 - General Advertising Expenses</v>
      </c>
      <c r="D72" s="1451">
        <f t="shared" si="15"/>
        <v>48947</v>
      </c>
      <c r="E72" s="1450">
        <f t="shared" si="16"/>
        <v>203856</v>
      </c>
      <c r="F72" s="1400" t="s">
        <v>1859</v>
      </c>
      <c r="G72" s="1447" t="s">
        <v>1793</v>
      </c>
      <c r="H72" s="1457">
        <f t="shared" ca="1" si="13"/>
        <v>0</v>
      </c>
      <c r="I72" s="1441" t="s">
        <v>350</v>
      </c>
      <c r="J72" s="1459" t="str">
        <f ca="1">"Line "&amp;OFFSET(INDIRECT(RIGHT(G72,LEN(G72)-1)),0,-7)</f>
        <v>Line 62</v>
      </c>
    </row>
    <row r="73" spans="1:10">
      <c r="A73" s="1385">
        <f t="shared" si="0"/>
        <v>58</v>
      </c>
      <c r="B73" s="1386" t="str">
        <f>'Appendix A'!C118</f>
        <v>Total A&amp;G</v>
      </c>
      <c r="C73" s="1383" t="str">
        <f t="shared" si="14"/>
        <v>Total A&amp;G Expenses</v>
      </c>
      <c r="D73" s="1451">
        <f t="shared" si="15"/>
        <v>1929760436</v>
      </c>
      <c r="E73" s="1450">
        <f t="shared" si="16"/>
        <v>635022977.09000003</v>
      </c>
      <c r="F73" s="1400" t="s">
        <v>1856</v>
      </c>
      <c r="G73" s="1447" t="s">
        <v>1794</v>
      </c>
      <c r="H73" s="1457">
        <f t="shared" ca="1" si="13"/>
        <v>0</v>
      </c>
      <c r="I73" s="1441" t="s">
        <v>350</v>
      </c>
      <c r="J73" s="1459" t="str">
        <f ca="1">"Line "&amp;OFFSET(INDIRECT(RIGHT(G73,LEN(G73)-1)),0,-7)</f>
        <v>Line 57</v>
      </c>
    </row>
    <row r="74" spans="1:10">
      <c r="A74" s="1385">
        <f t="shared" si="0"/>
        <v>59</v>
      </c>
      <c r="B74" s="1386" t="str">
        <f>'Att 5 - Cost Support'!C312</f>
        <v>Amortization of limited term electric plant (404)</v>
      </c>
      <c r="C74" s="1383" t="str">
        <f t="shared" si="14"/>
        <v>Amort - Intangible, ltd term (FERC 404)</v>
      </c>
      <c r="D74" s="1451">
        <f t="shared" si="15"/>
        <v>61586054</v>
      </c>
      <c r="E74" s="1450">
        <f t="shared" si="16"/>
        <v>68568312</v>
      </c>
      <c r="F74" s="1400" t="s">
        <v>914</v>
      </c>
      <c r="G74" s="1447" t="s">
        <v>2213</v>
      </c>
      <c r="H74" s="1457">
        <f t="shared" ca="1" si="13"/>
        <v>0</v>
      </c>
      <c r="I74" s="1441" t="s">
        <v>1386</v>
      </c>
      <c r="J74" s="1459" t="s">
        <v>1442</v>
      </c>
    </row>
    <row r="75" spans="1:10">
      <c r="A75" s="1385">
        <f t="shared" si="0"/>
        <v>60</v>
      </c>
      <c r="B75" s="1386" t="str">
        <f>'Att 5 - Cost Support'!C313</f>
        <v>Amortization of other electric plant (405)</v>
      </c>
      <c r="C75" s="1383" t="str">
        <f t="shared" si="14"/>
        <v>Amort exp - Intangible (FERC 405)</v>
      </c>
      <c r="D75" s="1451">
        <f t="shared" si="15"/>
        <v>0</v>
      </c>
      <c r="E75" s="1450">
        <f t="shared" si="16"/>
        <v>0</v>
      </c>
      <c r="F75" s="1400" t="s">
        <v>916</v>
      </c>
      <c r="G75" s="1447" t="s">
        <v>2214</v>
      </c>
      <c r="H75" s="1457">
        <f t="shared" ca="1" si="13"/>
        <v>0</v>
      </c>
      <c r="I75" s="1441" t="s">
        <v>1386</v>
      </c>
      <c r="J75" s="1459" t="s">
        <v>1442</v>
      </c>
    </row>
    <row r="76" spans="1:10">
      <c r="A76" s="1385">
        <f t="shared" si="0"/>
        <v>61</v>
      </c>
      <c r="B76" s="1386" t="str">
        <f>'Att 5 - Cost Support'!C302</f>
        <v>Depreciation expense (403)</v>
      </c>
      <c r="C76" s="1383" t="str">
        <f t="shared" si="14"/>
        <v>Dep exp - Transmission (FERC 403)</v>
      </c>
      <c r="D76" s="1451">
        <f t="shared" si="15"/>
        <v>139702687</v>
      </c>
      <c r="E76" s="1450">
        <f t="shared" si="16"/>
        <v>146298145</v>
      </c>
      <c r="F76" s="1400" t="s">
        <v>908</v>
      </c>
      <c r="G76" s="1447" t="s">
        <v>2215</v>
      </c>
      <c r="H76" s="1457">
        <f ca="1">(INDIRECT(RIGHT(G76,LEN(G76)-1))-E76)</f>
        <v>0</v>
      </c>
      <c r="I76" s="1441" t="s">
        <v>1386</v>
      </c>
      <c r="J76" s="1459" t="s">
        <v>1442</v>
      </c>
    </row>
    <row r="77" spans="1:10">
      <c r="A77" s="1385">
        <f t="shared" si="0"/>
        <v>62</v>
      </c>
      <c r="B77" s="1386" t="str">
        <f>'Att 5 - Cost Support'!C303</f>
        <v>Amortization of limited term electric plant (404)</v>
      </c>
      <c r="C77" s="1383" t="str">
        <f t="shared" si="14"/>
        <v>Dep exp - Transmission, ltd term (FERC 404)</v>
      </c>
      <c r="D77" s="1451">
        <f t="shared" si="15"/>
        <v>0</v>
      </c>
      <c r="E77" s="1450">
        <f t="shared" si="16"/>
        <v>0</v>
      </c>
      <c r="F77" s="1400" t="s">
        <v>910</v>
      </c>
      <c r="G77" s="1447" t="s">
        <v>2216</v>
      </c>
      <c r="H77" s="1457">
        <f t="shared" ca="1" si="13"/>
        <v>0</v>
      </c>
      <c r="I77" s="1441" t="s">
        <v>1386</v>
      </c>
      <c r="J77" s="1459" t="s">
        <v>1442</v>
      </c>
    </row>
    <row r="78" spans="1:10">
      <c r="A78" s="1385">
        <f t="shared" si="0"/>
        <v>63</v>
      </c>
      <c r="B78" s="1386" t="str">
        <f>'Att 5 - Cost Support'!C307</f>
        <v>Depreciation expense (403)</v>
      </c>
      <c r="C78" s="1383" t="str">
        <f t="shared" si="14"/>
        <v>Dep exp - General (FERC 403)</v>
      </c>
      <c r="D78" s="1451">
        <f t="shared" si="15"/>
        <v>51650631</v>
      </c>
      <c r="E78" s="1450">
        <f t="shared" si="16"/>
        <v>53033185</v>
      </c>
      <c r="F78" s="1400" t="s">
        <v>911</v>
      </c>
      <c r="G78" s="1447" t="s">
        <v>2217</v>
      </c>
      <c r="H78" s="1457">
        <f t="shared" ca="1" si="13"/>
        <v>0</v>
      </c>
      <c r="I78" s="1441" t="s">
        <v>1386</v>
      </c>
      <c r="J78" s="1459" t="s">
        <v>1442</v>
      </c>
    </row>
    <row r="79" spans="1:10">
      <c r="A79" s="1385">
        <f t="shared" si="0"/>
        <v>64</v>
      </c>
      <c r="B79" s="1386" t="str">
        <f>'Att 5 - Cost Support'!C308</f>
        <v>Amortization of limited term electric plant (404)</v>
      </c>
      <c r="C79" s="1383" t="str">
        <f t="shared" si="14"/>
        <v>Dep exp - General, ltd term (FERC 404)</v>
      </c>
      <c r="D79" s="1451">
        <f t="shared" si="15"/>
        <v>674030</v>
      </c>
      <c r="E79" s="1450">
        <f t="shared" si="16"/>
        <v>403345</v>
      </c>
      <c r="F79" s="1400" t="s">
        <v>912</v>
      </c>
      <c r="G79" s="1447" t="s">
        <v>2218</v>
      </c>
      <c r="H79" s="1457">
        <f t="shared" ca="1" si="13"/>
        <v>0</v>
      </c>
      <c r="I79" s="1441" t="s">
        <v>1386</v>
      </c>
      <c r="J79" s="1459" t="s">
        <v>1442</v>
      </c>
    </row>
    <row r="80" spans="1:10">
      <c r="A80" s="1385">
        <f t="shared" si="0"/>
        <v>65</v>
      </c>
      <c r="B80" s="1386" t="str">
        <f>'Appendix A'!$C$12</f>
        <v>Transmission Wages Expense</v>
      </c>
      <c r="C80" s="1383" t="str">
        <f t="shared" si="14"/>
        <v>Transmisison wages and salaries</v>
      </c>
      <c r="D80" s="1450">
        <f t="shared" si="15"/>
        <v>33170529</v>
      </c>
      <c r="E80" s="1450">
        <f t="shared" si="16"/>
        <v>35328643</v>
      </c>
      <c r="F80" s="1400" t="s">
        <v>16</v>
      </c>
      <c r="G80" s="1447" t="s">
        <v>1443</v>
      </c>
      <c r="H80" s="1457">
        <f t="shared" ca="1" si="13"/>
        <v>0</v>
      </c>
      <c r="I80" s="1441" t="s">
        <v>350</v>
      </c>
      <c r="J80" s="1459" t="str">
        <f ca="1">"Line "&amp;OFFSET(INDIRECT(RIGHT(G80,LEN(G80)-1)),0,-7)</f>
        <v>Line 1</v>
      </c>
    </row>
    <row r="81" spans="1:11">
      <c r="A81" s="1385">
        <f t="shared" si="0"/>
        <v>66</v>
      </c>
      <c r="B81" s="1386" t="str">
        <f>'Appendix A'!$C$14</f>
        <v>Total Wages Expense</v>
      </c>
      <c r="C81" s="1383" t="str">
        <f t="shared" si="14"/>
        <v>Total O&amp;M salaries</v>
      </c>
      <c r="D81" s="1450">
        <f t="shared" si="15"/>
        <v>386417387</v>
      </c>
      <c r="E81" s="1450">
        <f t="shared" si="16"/>
        <v>418706742</v>
      </c>
      <c r="F81" s="1400" t="s">
        <v>18</v>
      </c>
      <c r="G81" s="1447" t="s">
        <v>1444</v>
      </c>
      <c r="H81" s="1457">
        <f ca="1">(INDIRECT(RIGHT(G81,LEN(G81)-1))-E81)</f>
        <v>0</v>
      </c>
      <c r="I81" s="1441" t="s">
        <v>350</v>
      </c>
      <c r="J81" s="1459" t="str">
        <f ca="1">"Line "&amp;OFFSET(INDIRECT(RIGHT(G81,LEN(G81)-1)),0,-7)</f>
        <v>Line 2</v>
      </c>
    </row>
    <row r="82" spans="1:11">
      <c r="A82" s="1385">
        <f t="shared" ref="A82" si="17">A81+1</f>
        <v>67</v>
      </c>
      <c r="B82" s="1386" t="str">
        <f>'Appendix A'!$C$15</f>
        <v>Less A&amp;G Wages Expense</v>
      </c>
      <c r="C82" s="1383" t="str">
        <f t="shared" si="14"/>
        <v>A&amp;G wages and salaries</v>
      </c>
      <c r="D82" s="1450">
        <f t="shared" si="15"/>
        <v>40158501</v>
      </c>
      <c r="E82" s="1450">
        <f t="shared" si="16"/>
        <v>45609360</v>
      </c>
      <c r="F82" s="1400" t="s">
        <v>20</v>
      </c>
      <c r="G82" s="1447" t="s">
        <v>1445</v>
      </c>
      <c r="H82" s="1457">
        <f ca="1">(INDIRECT(RIGHT(G82,LEN(G82)-1))-E82)</f>
        <v>0</v>
      </c>
      <c r="I82" s="1441" t="s">
        <v>350</v>
      </c>
      <c r="J82" s="1459" t="str">
        <f ca="1">"Line "&amp;OFFSET(INDIRECT(RIGHT(G82,LEN(G82)-1)),0,-7)</f>
        <v>Line 3</v>
      </c>
    </row>
    <row r="83" spans="1:11">
      <c r="A83" s="846"/>
      <c r="D83" s="1404"/>
      <c r="E83" s="1404"/>
      <c r="F83" s="847"/>
      <c r="G83" s="1404"/>
      <c r="H83" s="1404"/>
      <c r="I83" s="847"/>
    </row>
    <row r="84" spans="1:11">
      <c r="C84" s="100"/>
      <c r="D84" s="148"/>
      <c r="F84" s="847"/>
      <c r="I84" s="847"/>
    </row>
    <row r="85" spans="1:11" ht="15.75" thickBot="1">
      <c r="A85" s="1373" t="s">
        <v>1446</v>
      </c>
      <c r="D85" s="1404"/>
      <c r="E85" s="1404"/>
      <c r="F85" s="847"/>
      <c r="G85" s="1404"/>
      <c r="H85" s="1404"/>
      <c r="I85" s="847"/>
    </row>
    <row r="86" spans="1:11" ht="15.75" thickBot="1">
      <c r="A86" s="1361" t="s">
        <v>306</v>
      </c>
      <c r="B86" s="1362" t="s">
        <v>1352</v>
      </c>
      <c r="C86" s="1405" t="s">
        <v>1447</v>
      </c>
      <c r="D86" s="1363" t="s">
        <v>1448</v>
      </c>
      <c r="E86" s="1363" t="s">
        <v>1449</v>
      </c>
      <c r="F86" s="1406" t="s">
        <v>787</v>
      </c>
      <c r="G86" s="1407"/>
      <c r="H86" s="2008" t="s">
        <v>6</v>
      </c>
      <c r="I86" s="2009"/>
      <c r="J86" s="100"/>
    </row>
    <row r="87" spans="1:11">
      <c r="A87" s="1379">
        <v>0</v>
      </c>
      <c r="B87" s="1408"/>
      <c r="C87" s="1409"/>
      <c r="D87" s="1410">
        <v>2023</v>
      </c>
      <c r="E87" s="1410">
        <v>2024</v>
      </c>
      <c r="F87" s="1379"/>
      <c r="G87" s="1379"/>
      <c r="H87" s="1379"/>
      <c r="I87" s="1379"/>
      <c r="J87" s="100"/>
    </row>
    <row r="88" spans="1:11" ht="25.5">
      <c r="A88" s="1368">
        <f ca="1">OFFSET(A88,-1,0)+1</f>
        <v>1</v>
      </c>
      <c r="B88" s="1369" t="s">
        <v>1450</v>
      </c>
      <c r="C88" s="1411" t="s">
        <v>1451</v>
      </c>
      <c r="D88" s="1846">
        <v>0</v>
      </c>
      <c r="E88" s="1846">
        <v>0</v>
      </c>
      <c r="F88" s="2001" t="s">
        <v>1251</v>
      </c>
      <c r="G88" s="2002"/>
      <c r="H88" s="2001"/>
      <c r="I88" s="2002"/>
      <c r="J88" s="100"/>
    </row>
    <row r="89" spans="1:11" ht="25.5">
      <c r="A89" s="1368">
        <f t="shared" ref="A89:A103" ca="1" si="18">OFFSET(A89,-1,0)+1</f>
        <v>2</v>
      </c>
      <c r="B89" s="1369" t="s">
        <v>1452</v>
      </c>
      <c r="C89" s="1411" t="s">
        <v>1453</v>
      </c>
      <c r="D89" s="1846">
        <v>12905843.309999999</v>
      </c>
      <c r="E89" s="1846">
        <v>17583283.460000001</v>
      </c>
      <c r="F89" s="2001" t="s">
        <v>2287</v>
      </c>
      <c r="G89" s="2002"/>
      <c r="H89" s="2001"/>
      <c r="I89" s="2002"/>
      <c r="J89" s="100"/>
    </row>
    <row r="90" spans="1:11" ht="25.5">
      <c r="A90" s="1368">
        <f t="shared" ca="1" si="18"/>
        <v>3</v>
      </c>
      <c r="B90" s="1369" t="s">
        <v>80</v>
      </c>
      <c r="C90" s="1411" t="s">
        <v>1454</v>
      </c>
      <c r="D90" s="1846">
        <v>190348902.84</v>
      </c>
      <c r="E90" s="1846">
        <v>254743005.80000001</v>
      </c>
      <c r="F90" s="2001" t="s">
        <v>2286</v>
      </c>
      <c r="G90" s="2002"/>
      <c r="H90" s="2001"/>
      <c r="I90" s="2002"/>
      <c r="J90" s="100"/>
    </row>
    <row r="91" spans="1:11" ht="25.5">
      <c r="A91" s="1368">
        <f t="shared" ca="1" si="18"/>
        <v>4</v>
      </c>
      <c r="B91" s="1369" t="s">
        <v>1455</v>
      </c>
      <c r="C91" s="1411" t="s">
        <v>1456</v>
      </c>
      <c r="D91" s="1847">
        <v>0.21</v>
      </c>
      <c r="E91" s="1847">
        <v>0.21</v>
      </c>
      <c r="F91" s="2001" t="s">
        <v>2219</v>
      </c>
      <c r="G91" s="2002"/>
      <c r="H91" s="2001"/>
      <c r="I91" s="2002"/>
      <c r="J91" s="100"/>
    </row>
    <row r="92" spans="1:11" ht="25.5">
      <c r="A92" s="1368">
        <f t="shared" ca="1" si="18"/>
        <v>5</v>
      </c>
      <c r="B92" s="1369" t="s">
        <v>1457</v>
      </c>
      <c r="C92" s="1411" t="s">
        <v>1458</v>
      </c>
      <c r="D92" s="1847">
        <v>4.5400000000000003E-2</v>
      </c>
      <c r="E92" s="1847">
        <v>4.5400000000000003E-2</v>
      </c>
      <c r="F92" s="2001" t="s">
        <v>2219</v>
      </c>
      <c r="G92" s="2002"/>
      <c r="H92" s="2001"/>
      <c r="I92" s="2002"/>
      <c r="J92" s="100"/>
    </row>
    <row r="93" spans="1:11" ht="15" customHeight="1">
      <c r="A93" s="1368">
        <f t="shared" ca="1" si="18"/>
        <v>6</v>
      </c>
      <c r="B93" s="1369" t="s">
        <v>1459</v>
      </c>
      <c r="C93" s="1411" t="s">
        <v>1460</v>
      </c>
      <c r="D93" s="1847">
        <v>0</v>
      </c>
      <c r="E93" s="1847">
        <v>0</v>
      </c>
      <c r="F93" s="2001" t="s">
        <v>2219</v>
      </c>
      <c r="G93" s="2002"/>
      <c r="H93" s="2001"/>
      <c r="I93" s="2002"/>
      <c r="J93" s="100"/>
    </row>
    <row r="94" spans="1:11" ht="25.5">
      <c r="A94" s="1368">
        <f t="shared" ca="1" si="18"/>
        <v>7</v>
      </c>
      <c r="B94" s="1412" t="s">
        <v>732</v>
      </c>
      <c r="C94" s="1411" t="s">
        <v>1461</v>
      </c>
      <c r="D94" s="1846">
        <v>1343367.44</v>
      </c>
      <c r="E94" s="1846">
        <v>843950.27</v>
      </c>
      <c r="F94" s="2001" t="s">
        <v>1462</v>
      </c>
      <c r="G94" s="2002"/>
      <c r="H94" s="2001" t="s">
        <v>1463</v>
      </c>
      <c r="I94" s="2002"/>
      <c r="J94" s="100"/>
      <c r="K94" s="1413"/>
    </row>
    <row r="95" spans="1:11" ht="25.5">
      <c r="A95" s="1368">
        <f t="shared" ca="1" si="18"/>
        <v>8</v>
      </c>
      <c r="B95" s="1412" t="s">
        <v>1464</v>
      </c>
      <c r="C95" s="1411" t="s">
        <v>1465</v>
      </c>
      <c r="D95" s="1846">
        <v>442156</v>
      </c>
      <c r="E95" s="1846">
        <v>368737</v>
      </c>
      <c r="F95" s="2001" t="s">
        <v>2220</v>
      </c>
      <c r="G95" s="2002"/>
      <c r="H95" s="2001" t="s">
        <v>1466</v>
      </c>
      <c r="I95" s="2002"/>
      <c r="J95" s="100"/>
      <c r="K95" s="1413"/>
    </row>
    <row r="96" spans="1:11" ht="25.5">
      <c r="A96" s="1368">
        <f t="shared" ca="1" si="18"/>
        <v>9</v>
      </c>
      <c r="B96" s="1412" t="s">
        <v>1467</v>
      </c>
      <c r="C96" s="1411" t="s">
        <v>1465</v>
      </c>
      <c r="D96" s="1846">
        <v>1635191</v>
      </c>
      <c r="E96" s="1846">
        <v>2148541</v>
      </c>
      <c r="F96" s="2001" t="s">
        <v>2221</v>
      </c>
      <c r="G96" s="2002"/>
      <c r="H96" s="2001" t="s">
        <v>1468</v>
      </c>
      <c r="I96" s="2002"/>
      <c r="J96" s="100"/>
      <c r="K96" s="1413"/>
    </row>
    <row r="97" spans="1:11" ht="25.5">
      <c r="A97" s="1368">
        <f t="shared" ca="1" si="18"/>
        <v>10</v>
      </c>
      <c r="B97" s="1412" t="s">
        <v>1469</v>
      </c>
      <c r="C97" s="1411" t="s">
        <v>1465</v>
      </c>
      <c r="D97" s="1846">
        <v>15450.319447745032</v>
      </c>
      <c r="E97" s="1846">
        <v>15664.159426829247</v>
      </c>
      <c r="F97" s="2001" t="s">
        <v>2222</v>
      </c>
      <c r="G97" s="2002"/>
      <c r="H97" s="2001" t="s">
        <v>1470</v>
      </c>
      <c r="I97" s="2002"/>
      <c r="J97" s="100"/>
      <c r="K97" s="1413"/>
    </row>
    <row r="98" spans="1:11" ht="25.5">
      <c r="A98" s="1368">
        <f t="shared" ca="1" si="18"/>
        <v>11</v>
      </c>
      <c r="B98" s="1369" t="s">
        <v>1471</v>
      </c>
      <c r="C98" s="1411" t="s">
        <v>1472</v>
      </c>
      <c r="D98" s="1846">
        <v>-214352.07</v>
      </c>
      <c r="E98" s="1846">
        <v>-211638.73</v>
      </c>
      <c r="F98" s="2001" t="s">
        <v>1561</v>
      </c>
      <c r="G98" s="2002"/>
      <c r="H98" s="2001" t="s">
        <v>1473</v>
      </c>
      <c r="I98" s="2002"/>
      <c r="J98" s="100"/>
      <c r="K98" s="1414"/>
    </row>
    <row r="99" spans="1:11" ht="42" customHeight="1">
      <c r="A99" s="1368">
        <f t="shared" ca="1" si="18"/>
        <v>12</v>
      </c>
      <c r="B99" s="1369" t="s">
        <v>1474</v>
      </c>
      <c r="C99" s="1411" t="s">
        <v>1472</v>
      </c>
      <c r="D99" s="1846">
        <v>0</v>
      </c>
      <c r="E99" s="1846">
        <v>0</v>
      </c>
      <c r="F99" s="2001" t="s">
        <v>1475</v>
      </c>
      <c r="G99" s="2002"/>
      <c r="H99" s="2001" t="s">
        <v>1476</v>
      </c>
      <c r="I99" s="2002"/>
      <c r="J99" s="100"/>
      <c r="K99" s="1414"/>
    </row>
    <row r="100" spans="1:11" ht="42" customHeight="1">
      <c r="A100" s="1368">
        <v>13</v>
      </c>
      <c r="B100" s="1369" t="s">
        <v>1619</v>
      </c>
      <c r="C100" s="1411" t="s">
        <v>1472</v>
      </c>
      <c r="D100" s="1846">
        <v>-895749.21</v>
      </c>
      <c r="E100" s="1846">
        <v>-615921.00999999989</v>
      </c>
      <c r="F100" s="2001" t="s">
        <v>1813</v>
      </c>
      <c r="G100" s="2002"/>
      <c r="H100" s="2001" t="s">
        <v>1620</v>
      </c>
      <c r="I100" s="2002"/>
      <c r="J100" s="100"/>
      <c r="K100" s="1414"/>
    </row>
    <row r="101" spans="1:11" ht="38.25">
      <c r="A101" s="1368">
        <f t="shared" ca="1" si="18"/>
        <v>14</v>
      </c>
      <c r="B101" s="1415" t="s">
        <v>1477</v>
      </c>
      <c r="C101" s="1411" t="s">
        <v>1478</v>
      </c>
      <c r="D101" s="1846">
        <v>738458.11</v>
      </c>
      <c r="E101" s="1846">
        <v>738458.11</v>
      </c>
      <c r="F101" s="2001" t="s">
        <v>1479</v>
      </c>
      <c r="G101" s="2002"/>
      <c r="H101" s="2001" t="s">
        <v>1480</v>
      </c>
      <c r="I101" s="2002"/>
      <c r="J101" s="100"/>
      <c r="K101" s="1413"/>
    </row>
    <row r="102" spans="1:11" ht="38.25">
      <c r="A102" s="1368">
        <f t="shared" ca="1" si="18"/>
        <v>15</v>
      </c>
      <c r="B102" s="1415" t="s">
        <v>1481</v>
      </c>
      <c r="C102" s="1411" t="s">
        <v>1478</v>
      </c>
      <c r="D102" s="1846">
        <v>125977.78</v>
      </c>
      <c r="E102" s="1846">
        <v>124522.32992097056</v>
      </c>
      <c r="F102" s="2001" t="s">
        <v>1482</v>
      </c>
      <c r="G102" s="2002"/>
      <c r="H102" s="2001" t="s">
        <v>2086</v>
      </c>
      <c r="I102" s="2002"/>
    </row>
    <row r="103" spans="1:11" ht="38.25">
      <c r="A103" s="1368">
        <f t="shared" ca="1" si="18"/>
        <v>16</v>
      </c>
      <c r="B103" s="1369" t="s">
        <v>1483</v>
      </c>
      <c r="C103" s="1411" t="s">
        <v>1478</v>
      </c>
      <c r="D103" s="1846">
        <v>159124541.30425</v>
      </c>
      <c r="E103" s="1846">
        <v>189576135.24000001</v>
      </c>
      <c r="F103" s="2001" t="s">
        <v>2191</v>
      </c>
      <c r="G103" s="2002"/>
      <c r="H103" s="2001" t="s">
        <v>1484</v>
      </c>
      <c r="I103" s="2002"/>
      <c r="J103" s="100"/>
      <c r="K103" s="1413"/>
    </row>
    <row r="104" spans="1:11">
      <c r="A104" s="846"/>
      <c r="F104" s="847"/>
      <c r="I104" s="847"/>
      <c r="J104" s="100"/>
    </row>
    <row r="105" spans="1:11">
      <c r="F105" s="847"/>
      <c r="I105" s="847"/>
    </row>
    <row r="106" spans="1:11">
      <c r="B106" s="1416"/>
      <c r="C106" s="1416"/>
      <c r="D106" s="1076"/>
      <c r="E106" s="1076"/>
      <c r="F106" s="1417"/>
      <c r="G106" s="1076"/>
      <c r="H106" s="1076"/>
      <c r="I106" s="1418"/>
    </row>
    <row r="107" spans="1:11">
      <c r="B107" s="1416"/>
      <c r="C107" s="1416"/>
      <c r="D107" s="1076"/>
      <c r="E107" s="1076"/>
      <c r="F107" s="1417"/>
      <c r="G107" s="1076"/>
      <c r="H107" s="1076"/>
      <c r="I107" s="1418"/>
    </row>
    <row r="108" spans="1:11">
      <c r="B108" s="1416"/>
      <c r="C108" s="1416"/>
      <c r="D108" s="1076"/>
      <c r="E108" s="1076"/>
      <c r="F108" s="1417"/>
      <c r="G108" s="1076"/>
      <c r="H108" s="1076"/>
      <c r="I108" s="1418"/>
    </row>
    <row r="109" spans="1:11">
      <c r="F109" s="847"/>
      <c r="I109" s="847"/>
    </row>
    <row r="110" spans="1:11">
      <c r="F110" s="847"/>
      <c r="I110" s="847"/>
    </row>
    <row r="111" spans="1:11">
      <c r="F111" s="847"/>
      <c r="I111" s="847"/>
    </row>
    <row r="112" spans="1:11">
      <c r="F112" s="847"/>
      <c r="I112" s="847"/>
    </row>
    <row r="113" spans="6:9">
      <c r="F113" s="847"/>
      <c r="I113" s="847"/>
    </row>
    <row r="114" spans="6:9">
      <c r="F114" s="847"/>
      <c r="I114" s="847"/>
    </row>
    <row r="115" spans="6:9">
      <c r="F115" s="847"/>
      <c r="I115" s="847"/>
    </row>
    <row r="116" spans="6:9">
      <c r="F116" s="847"/>
      <c r="I116" s="847"/>
    </row>
    <row r="117" spans="6:9">
      <c r="F117" s="847"/>
      <c r="I117" s="847"/>
    </row>
    <row r="118" spans="6:9">
      <c r="F118" s="847"/>
      <c r="I118" s="847"/>
    </row>
    <row r="119" spans="6:9">
      <c r="F119" s="847"/>
      <c r="I119" s="847"/>
    </row>
    <row r="120" spans="6:9">
      <c r="F120" s="847"/>
      <c r="I120" s="847"/>
    </row>
    <row r="121" spans="6:9">
      <c r="F121" s="847"/>
      <c r="I121" s="847"/>
    </row>
    <row r="122" spans="6:9">
      <c r="F122" s="847"/>
      <c r="I122" s="847"/>
    </row>
    <row r="123" spans="6:9">
      <c r="F123" s="847"/>
      <c r="I123" s="847"/>
    </row>
    <row r="124" spans="6:9">
      <c r="F124" s="847"/>
      <c r="I124" s="847"/>
    </row>
    <row r="125" spans="6:9">
      <c r="F125" s="847"/>
      <c r="I125" s="847"/>
    </row>
    <row r="126" spans="6:9">
      <c r="F126" s="847"/>
      <c r="I126" s="847"/>
    </row>
    <row r="127" spans="6:9">
      <c r="F127" s="847"/>
      <c r="I127" s="847"/>
    </row>
    <row r="128" spans="6:9">
      <c r="F128" s="847"/>
      <c r="I128" s="847"/>
    </row>
    <row r="129" spans="6:9">
      <c r="F129" s="847"/>
      <c r="I129" s="847"/>
    </row>
    <row r="130" spans="6:9">
      <c r="F130" s="847"/>
      <c r="I130" s="847"/>
    </row>
    <row r="131" spans="6:9">
      <c r="F131" s="847"/>
      <c r="I131" s="847"/>
    </row>
    <row r="132" spans="6:9">
      <c r="F132" s="847"/>
      <c r="I132" s="847"/>
    </row>
    <row r="133" spans="6:9">
      <c r="F133" s="847"/>
      <c r="I133" s="847"/>
    </row>
    <row r="134" spans="6:9">
      <c r="F134" s="847"/>
      <c r="I134" s="847"/>
    </row>
    <row r="135" spans="6:9">
      <c r="F135" s="847"/>
      <c r="I135" s="847"/>
    </row>
    <row r="136" spans="6:9">
      <c r="F136" s="847"/>
      <c r="I136" s="847"/>
    </row>
    <row r="137" spans="6:9">
      <c r="F137" s="847"/>
      <c r="I137" s="847"/>
    </row>
    <row r="138" spans="6:9">
      <c r="F138" s="847"/>
      <c r="I138" s="847"/>
    </row>
    <row r="139" spans="6:9">
      <c r="F139" s="847"/>
      <c r="I139" s="847"/>
    </row>
    <row r="140" spans="6:9">
      <c r="F140" s="847"/>
      <c r="I140" s="847"/>
    </row>
    <row r="141" spans="6:9">
      <c r="F141" s="847"/>
      <c r="I141" s="847"/>
    </row>
  </sheetData>
  <mergeCells count="35">
    <mergeCell ref="F103:G103"/>
    <mergeCell ref="H103:I103"/>
    <mergeCell ref="F99:G99"/>
    <mergeCell ref="H99:I99"/>
    <mergeCell ref="F101:G101"/>
    <mergeCell ref="H101:I101"/>
    <mergeCell ref="F102:G102"/>
    <mergeCell ref="H102:I102"/>
    <mergeCell ref="F100:G100"/>
    <mergeCell ref="H100:I100"/>
    <mergeCell ref="F96:G96"/>
    <mergeCell ref="H96:I96"/>
    <mergeCell ref="F97:G97"/>
    <mergeCell ref="H97:I97"/>
    <mergeCell ref="F98:G98"/>
    <mergeCell ref="H98:I98"/>
    <mergeCell ref="F93:G93"/>
    <mergeCell ref="H93:I93"/>
    <mergeCell ref="F94:G94"/>
    <mergeCell ref="H94:I94"/>
    <mergeCell ref="F95:G95"/>
    <mergeCell ref="H95:I95"/>
    <mergeCell ref="F90:G90"/>
    <mergeCell ref="H90:I90"/>
    <mergeCell ref="F91:G91"/>
    <mergeCell ref="H91:I91"/>
    <mergeCell ref="F92:G92"/>
    <mergeCell ref="H92:I92"/>
    <mergeCell ref="F89:G89"/>
    <mergeCell ref="H89:I89"/>
    <mergeCell ref="A1:J1"/>
    <mergeCell ref="H33:H34"/>
    <mergeCell ref="H86:I86"/>
    <mergeCell ref="F88:G88"/>
    <mergeCell ref="H88:I88"/>
  </mergeCells>
  <pageMargins left="0.7" right="0.7" top="0.75" bottom="0.75" header="0.3" footer="0.3"/>
  <pageSetup scale="32"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6"/>
  <sheetViews>
    <sheetView topLeftCell="A4" workbookViewId="0">
      <selection activeCell="D39" sqref="D39"/>
    </sheetView>
  </sheetViews>
  <sheetFormatPr defaultRowHeight="15"/>
  <cols>
    <col min="1" max="1" width="6.5703125" customWidth="1"/>
    <col min="2" max="2" width="51" customWidth="1"/>
    <col min="3" max="3" width="2.7109375" customWidth="1"/>
    <col min="4" max="4" width="34.7109375" customWidth="1"/>
    <col min="5" max="5" width="7.140625" customWidth="1"/>
    <col min="6" max="6" width="15.7109375" customWidth="1"/>
  </cols>
  <sheetData>
    <row r="1" spans="1:6">
      <c r="A1" s="288"/>
      <c r="B1" s="289" t="s">
        <v>2</v>
      </c>
      <c r="C1" s="288"/>
      <c r="D1" s="288"/>
      <c r="E1" s="288"/>
      <c r="F1" s="288"/>
    </row>
    <row r="2" spans="1:6">
      <c r="A2" s="288"/>
      <c r="B2" s="289" t="s">
        <v>304</v>
      </c>
      <c r="C2" s="288"/>
      <c r="D2" s="288"/>
      <c r="E2" s="288"/>
      <c r="F2" s="288"/>
    </row>
    <row r="3" spans="1:6">
      <c r="A3" s="288"/>
      <c r="B3" s="289" t="s">
        <v>305</v>
      </c>
      <c r="C3" s="288"/>
      <c r="D3" s="288"/>
      <c r="E3" s="288"/>
      <c r="F3" s="288"/>
    </row>
    <row r="4" spans="1:6">
      <c r="A4" s="100"/>
      <c r="B4" s="100"/>
      <c r="C4" s="100"/>
      <c r="D4" s="100"/>
      <c r="E4" s="100"/>
      <c r="F4" s="100"/>
    </row>
    <row r="5" spans="1:6">
      <c r="A5" s="100"/>
      <c r="B5" s="100"/>
      <c r="C5" s="100"/>
      <c r="D5" s="100"/>
      <c r="E5" s="100"/>
      <c r="F5" s="100"/>
    </row>
    <row r="6" spans="1:6">
      <c r="A6" s="290" t="s">
        <v>306</v>
      </c>
      <c r="B6" s="290" t="s">
        <v>284</v>
      </c>
      <c r="C6" s="290"/>
      <c r="D6" s="290" t="s">
        <v>307</v>
      </c>
      <c r="E6" s="290"/>
      <c r="F6" s="290" t="s">
        <v>286</v>
      </c>
    </row>
    <row r="7" spans="1:6">
      <c r="A7" s="291"/>
      <c r="B7" s="291"/>
      <c r="C7" s="100"/>
      <c r="D7" s="100"/>
      <c r="E7" s="100"/>
      <c r="F7" s="100"/>
    </row>
    <row r="8" spans="1:6">
      <c r="A8" s="292">
        <v>1</v>
      </c>
      <c r="B8" s="291" t="s">
        <v>203</v>
      </c>
      <c r="C8" s="100"/>
      <c r="D8" s="100" t="str">
        <f>"Appendix A, Line "&amp;'Appendix A'!A264</f>
        <v>Appendix A, Line 151</v>
      </c>
      <c r="E8" s="100"/>
      <c r="F8" s="293">
        <f>'Appendix A'!H264</f>
        <v>967511207.62958014</v>
      </c>
    </row>
    <row r="9" spans="1:6">
      <c r="A9" s="292"/>
      <c r="B9" s="291"/>
      <c r="C9" s="100"/>
      <c r="D9" s="100"/>
      <c r="E9" s="100"/>
      <c r="F9" s="100"/>
    </row>
    <row r="10" spans="1:6">
      <c r="A10" s="292"/>
      <c r="B10" s="291" t="s">
        <v>308</v>
      </c>
      <c r="C10" s="100"/>
      <c r="D10" s="100"/>
      <c r="E10" s="100"/>
      <c r="F10" s="100"/>
    </row>
    <row r="11" spans="1:6">
      <c r="A11" s="292"/>
      <c r="B11" s="291"/>
      <c r="C11" s="100"/>
      <c r="D11" s="100"/>
      <c r="E11" s="100"/>
      <c r="F11" s="100"/>
    </row>
    <row r="12" spans="1:6">
      <c r="A12" s="292">
        <v>2</v>
      </c>
      <c r="B12" s="294" t="s">
        <v>309</v>
      </c>
      <c r="C12" s="100"/>
      <c r="D12" s="100" t="str">
        <f>"Attachment 3, Line "&amp;'Att 3 - Revenue Credits'!A12</f>
        <v>Attachment 3, Line 6</v>
      </c>
      <c r="E12" s="100"/>
      <c r="F12" s="293">
        <f>SUM('Att 3 - Revenue Credits'!E12)</f>
        <v>4063822.6042452706</v>
      </c>
    </row>
    <row r="13" spans="1:6">
      <c r="A13" s="292">
        <v>3</v>
      </c>
      <c r="B13" s="294" t="s">
        <v>310</v>
      </c>
      <c r="C13" s="100"/>
      <c r="D13" s="100" t="str">
        <f>"Attachment 3, Line "&amp;'Att 3 - Revenue Credits'!A20</f>
        <v>Attachment 3, Line 12</v>
      </c>
      <c r="E13" s="100"/>
      <c r="F13" s="293">
        <f>SUM('Att 3 - Revenue Credits'!E20)</f>
        <v>193326065.09442684</v>
      </c>
    </row>
    <row r="14" spans="1:6">
      <c r="A14" s="292">
        <v>4</v>
      </c>
      <c r="B14" s="295" t="s">
        <v>311</v>
      </c>
      <c r="C14" s="100"/>
      <c r="D14" s="296" t="str">
        <f>"Line "&amp;A12&amp;" + Line "&amp;A13</f>
        <v>Line 2 + Line 3</v>
      </c>
      <c r="E14" s="100"/>
      <c r="F14" s="297">
        <f>SUM(F12:F13)</f>
        <v>197389887.69867212</v>
      </c>
    </row>
    <row r="15" spans="1:6">
      <c r="A15" s="292"/>
      <c r="B15" s="291"/>
      <c r="C15" s="100"/>
      <c r="D15" s="100"/>
      <c r="E15" s="100"/>
      <c r="F15" s="100"/>
    </row>
    <row r="16" spans="1:6">
      <c r="A16" s="292"/>
      <c r="B16" s="291"/>
      <c r="C16" s="100"/>
      <c r="D16" s="100"/>
      <c r="E16" s="100"/>
      <c r="F16" s="100"/>
    </row>
    <row r="17" spans="1:6">
      <c r="A17" s="292">
        <v>5</v>
      </c>
      <c r="B17" s="291" t="s">
        <v>312</v>
      </c>
      <c r="C17" s="100"/>
      <c r="D17" s="100" t="s">
        <v>25</v>
      </c>
      <c r="E17" s="100"/>
      <c r="F17" s="293">
        <f>'Att 5 - Cost Support'!H286</f>
        <v>17583283.460000001</v>
      </c>
    </row>
    <row r="18" spans="1:6">
      <c r="A18" s="292"/>
      <c r="B18" s="291"/>
      <c r="C18" s="100"/>
      <c r="D18" s="100"/>
      <c r="E18" s="100"/>
      <c r="F18" s="100"/>
    </row>
    <row r="19" spans="1:6">
      <c r="A19" s="292">
        <v>6</v>
      </c>
      <c r="B19" s="291" t="s">
        <v>221</v>
      </c>
      <c r="C19" s="100"/>
      <c r="D19" s="100" t="s">
        <v>222</v>
      </c>
      <c r="E19" s="100"/>
      <c r="F19" s="293">
        <f>INDEX('Att 7 - Trans Enhance Charge'!$D$30:$T$71,MATCH(IF(Toggle=Projection,data_year+1,data_year)&amp;'Att 7 - Trans Enhance Charge'!$C$31,'Att 7 - Trans Enhance Charge'!$B$30:$B$69,0),MATCH('Att 7 - Trans Enhance Charge'!$T$29,'Att 7 - Trans Enhance Charge'!$D$29:$T$29,0))</f>
        <v>10778327.766302288</v>
      </c>
    </row>
    <row r="20" spans="1:6">
      <c r="A20" s="292"/>
      <c r="B20" s="291"/>
      <c r="C20" s="100"/>
      <c r="D20" s="100"/>
      <c r="E20" s="100"/>
      <c r="F20" s="100"/>
    </row>
    <row r="21" spans="1:6">
      <c r="A21" s="292">
        <v>7</v>
      </c>
      <c r="B21" s="291" t="s">
        <v>313</v>
      </c>
      <c r="C21" s="100"/>
      <c r="D21" s="100" t="s">
        <v>2154</v>
      </c>
      <c r="E21" s="100"/>
      <c r="F21" s="293">
        <f>F8-F14+F17+F19</f>
        <v>798482931.15721035</v>
      </c>
    </row>
    <row r="22" spans="1:6">
      <c r="A22" s="292"/>
      <c r="B22" s="291"/>
      <c r="C22" s="100"/>
      <c r="D22" s="100"/>
      <c r="E22" s="100"/>
      <c r="F22" s="100"/>
    </row>
    <row r="23" spans="1:6">
      <c r="A23" s="292">
        <v>8</v>
      </c>
      <c r="B23" s="291" t="s">
        <v>314</v>
      </c>
      <c r="C23" s="100"/>
      <c r="D23" s="100" t="str">
        <f>"Appendix A, Line "&amp;'Appendix A'!A293</f>
        <v>Appendix A, Line 170</v>
      </c>
      <c r="E23" s="100"/>
      <c r="F23" s="273">
        <f>'Appendix A'!H293</f>
        <v>15088.229631051274</v>
      </c>
    </row>
    <row r="24" spans="1:6">
      <c r="A24" s="292"/>
      <c r="B24" s="291"/>
      <c r="C24" s="100"/>
      <c r="D24" s="100"/>
      <c r="E24" s="100"/>
      <c r="F24" s="100"/>
    </row>
    <row r="25" spans="1:6">
      <c r="A25" s="292"/>
      <c r="B25" s="291"/>
      <c r="C25" s="100"/>
      <c r="D25" s="100"/>
      <c r="E25" s="100"/>
      <c r="F25" s="100"/>
    </row>
    <row r="26" spans="1:6">
      <c r="A26" s="292"/>
      <c r="B26" s="291" t="s">
        <v>315</v>
      </c>
      <c r="C26" s="100"/>
      <c r="D26" s="100"/>
      <c r="E26" s="100"/>
      <c r="F26" s="100"/>
    </row>
    <row r="27" spans="1:6">
      <c r="A27" s="292"/>
      <c r="B27" s="291"/>
      <c r="C27" s="100"/>
      <c r="D27" s="100"/>
      <c r="E27" s="100"/>
      <c r="F27" s="100"/>
    </row>
    <row r="28" spans="1:6">
      <c r="A28" s="292">
        <v>9</v>
      </c>
      <c r="B28" s="294" t="s">
        <v>316</v>
      </c>
      <c r="C28" s="100"/>
      <c r="D28" s="100" t="str">
        <f>"Line "&amp;A21&amp;" / Line "&amp;A23&amp;" / 1000"</f>
        <v>Line 7 / Line 8 / 1000</v>
      </c>
      <c r="E28" s="100"/>
      <c r="F28" s="298">
        <f>F21/F23/1000</f>
        <v>52.920915884919232</v>
      </c>
    </row>
    <row r="29" spans="1:6">
      <c r="A29" s="292"/>
      <c r="B29" s="294"/>
      <c r="C29" s="100"/>
      <c r="D29" s="100"/>
      <c r="E29" s="100"/>
      <c r="F29" s="299"/>
    </row>
    <row r="30" spans="1:6">
      <c r="A30" s="292">
        <v>10</v>
      </c>
      <c r="B30" s="294" t="s">
        <v>317</v>
      </c>
      <c r="C30" s="100"/>
      <c r="D30" s="100" t="str">
        <f>"Line "&amp;A28&amp;" / 12 months"</f>
        <v>Line 9 / 12 months</v>
      </c>
      <c r="E30" s="100"/>
      <c r="F30" s="298">
        <f>F28/12</f>
        <v>4.4100763237432696</v>
      </c>
    </row>
    <row r="31" spans="1:6">
      <c r="A31" s="292"/>
      <c r="B31" s="294"/>
      <c r="C31" s="100"/>
      <c r="D31" s="100"/>
      <c r="E31" s="100"/>
      <c r="F31" s="298"/>
    </row>
    <row r="32" spans="1:6">
      <c r="A32" s="292">
        <v>11</v>
      </c>
      <c r="B32" s="294" t="s">
        <v>318</v>
      </c>
      <c r="C32" s="100"/>
      <c r="D32" s="100" t="str">
        <f>"Line "&amp;A28&amp;" / 52 weeks"</f>
        <v>Line 9 / 52 weeks</v>
      </c>
      <c r="E32" s="100"/>
      <c r="F32" s="298">
        <f>F28/52</f>
        <v>1.0177099208638314</v>
      </c>
    </row>
    <row r="33" spans="1:6">
      <c r="A33" s="292"/>
      <c r="B33" s="291"/>
      <c r="C33" s="100"/>
      <c r="D33" s="100"/>
      <c r="E33" s="100"/>
      <c r="F33" s="298"/>
    </row>
    <row r="34" spans="1:6">
      <c r="A34" s="292"/>
      <c r="B34" s="291"/>
      <c r="C34" s="100"/>
      <c r="D34" s="100"/>
      <c r="E34" s="100"/>
      <c r="F34" s="298"/>
    </row>
    <row r="35" spans="1:6">
      <c r="A35" s="292"/>
      <c r="B35" s="291" t="s">
        <v>319</v>
      </c>
      <c r="C35" s="100"/>
      <c r="D35" s="100"/>
      <c r="E35" s="100"/>
      <c r="F35" s="298"/>
    </row>
    <row r="36" spans="1:6">
      <c r="A36" s="292"/>
      <c r="B36" s="291"/>
      <c r="C36" s="100"/>
      <c r="D36" s="100"/>
      <c r="E36" s="100"/>
      <c r="F36" s="298"/>
    </row>
    <row r="37" spans="1:6">
      <c r="A37" s="292">
        <v>12</v>
      </c>
      <c r="B37" s="294" t="s">
        <v>320</v>
      </c>
      <c r="C37" s="100"/>
      <c r="D37" s="100" t="str">
        <f>"Line "&amp;A32&amp;" / 5 days"</f>
        <v>Line 11 / 5 days</v>
      </c>
      <c r="E37" s="100"/>
      <c r="F37" s="298">
        <f>F32/5</f>
        <v>0.20354198417276628</v>
      </c>
    </row>
    <row r="38" spans="1:6">
      <c r="A38" s="292"/>
      <c r="B38" s="294"/>
      <c r="C38" s="100"/>
      <c r="D38" s="100"/>
      <c r="E38" s="100"/>
      <c r="F38" s="298"/>
    </row>
    <row r="39" spans="1:6">
      <c r="A39" s="292">
        <v>13</v>
      </c>
      <c r="B39" s="294" t="s">
        <v>321</v>
      </c>
      <c r="C39" s="100"/>
      <c r="D39" s="100" t="str">
        <f>"Line "&amp;A32&amp;" / 7 days"</f>
        <v>Line 11 / 7 days</v>
      </c>
      <c r="E39" s="100"/>
      <c r="F39" s="298">
        <f>F32/7</f>
        <v>0.14538713155197591</v>
      </c>
    </row>
    <row r="40" spans="1:6">
      <c r="A40" s="292"/>
      <c r="B40" s="291"/>
      <c r="C40" s="100"/>
      <c r="D40" s="100"/>
      <c r="E40" s="100"/>
      <c r="F40" s="298"/>
    </row>
    <row r="41" spans="1:6">
      <c r="A41" s="292"/>
      <c r="B41" s="291"/>
      <c r="C41" s="100"/>
      <c r="D41" s="100"/>
      <c r="E41" s="300"/>
      <c r="F41" s="298"/>
    </row>
    <row r="42" spans="1:6">
      <c r="A42" s="292"/>
      <c r="B42" s="291" t="s">
        <v>322</v>
      </c>
      <c r="C42" s="100"/>
      <c r="D42" s="100"/>
      <c r="E42" s="100"/>
      <c r="F42" s="298"/>
    </row>
    <row r="43" spans="1:6">
      <c r="A43" s="292"/>
      <c r="B43" s="291"/>
      <c r="C43" s="100"/>
      <c r="D43" s="100"/>
      <c r="E43" s="100"/>
      <c r="F43" s="298"/>
    </row>
    <row r="44" spans="1:6">
      <c r="A44" s="292">
        <v>14</v>
      </c>
      <c r="B44" s="294" t="s">
        <v>323</v>
      </c>
      <c r="C44" s="100"/>
      <c r="D44" s="100" t="str">
        <f>"Line "&amp;A37&amp;" / 16 hours * 1000"</f>
        <v>Line 12 / 16 hours * 1000</v>
      </c>
      <c r="E44" s="100"/>
      <c r="F44" s="301">
        <f>(F37/16)*1000</f>
        <v>12.721374010797893</v>
      </c>
    </row>
    <row r="45" spans="1:6">
      <c r="A45" s="292"/>
      <c r="B45" s="294"/>
      <c r="C45" s="100"/>
      <c r="D45" s="100"/>
      <c r="E45" s="100"/>
      <c r="F45" s="301"/>
    </row>
    <row r="46" spans="1:6">
      <c r="A46" s="292">
        <v>15</v>
      </c>
      <c r="B46" s="294" t="s">
        <v>324</v>
      </c>
      <c r="C46" s="100"/>
      <c r="D46" s="100" t="str">
        <f>"Line "&amp;A39&amp;" / 24 hours * 1000"</f>
        <v>Line 13 / 24 hours * 1000</v>
      </c>
      <c r="E46" s="100"/>
      <c r="F46" s="301">
        <f>F39/24*1000</f>
        <v>6.057797147998996</v>
      </c>
    </row>
  </sheetData>
  <pageMargins left="0.7" right="0.7" top="0.75" bottom="0.75" header="0.3" footer="0.3"/>
  <pageSetup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415"/>
  <sheetViews>
    <sheetView topLeftCell="A15" zoomScaleNormal="100" workbookViewId="0">
      <selection activeCell="E33" sqref="E33:H155"/>
    </sheetView>
  </sheetViews>
  <sheetFormatPr defaultColWidth="9.140625" defaultRowHeight="14.25"/>
  <cols>
    <col min="1" max="2" width="10.85546875" style="310" customWidth="1"/>
    <col min="3" max="3" width="59.140625" style="311" customWidth="1"/>
    <col min="4" max="8" width="18.5703125" style="305" customWidth="1"/>
    <col min="9" max="9" width="18.5703125" style="311" customWidth="1"/>
    <col min="10" max="10" width="80.5703125" style="305" customWidth="1"/>
    <col min="11" max="16384" width="9.140625" style="305"/>
  </cols>
  <sheetData>
    <row r="1" spans="1:10" ht="18">
      <c r="A1" s="302" t="s">
        <v>2</v>
      </c>
      <c r="B1" s="302"/>
      <c r="C1" s="303"/>
      <c r="D1" s="304"/>
      <c r="E1" s="304"/>
      <c r="F1" s="304"/>
      <c r="G1" s="304"/>
      <c r="H1" s="304"/>
      <c r="I1" s="304"/>
      <c r="J1" s="304"/>
    </row>
    <row r="2" spans="1:10" ht="15.75">
      <c r="A2" s="302" t="s">
        <v>325</v>
      </c>
      <c r="B2" s="302"/>
      <c r="C2" s="306"/>
      <c r="D2" s="307"/>
      <c r="E2" s="307"/>
      <c r="F2" s="307"/>
      <c r="G2" s="307"/>
      <c r="H2" s="307"/>
      <c r="I2" s="307"/>
      <c r="J2" s="307"/>
    </row>
    <row r="3" spans="1:10">
      <c r="A3" s="308" t="s">
        <v>326</v>
      </c>
      <c r="B3" s="306"/>
      <c r="C3" s="303"/>
      <c r="D3" s="309"/>
      <c r="E3" s="309"/>
      <c r="F3" s="309"/>
      <c r="G3" s="309"/>
      <c r="H3" s="309"/>
      <c r="I3" s="303"/>
      <c r="J3" s="308"/>
    </row>
    <row r="4" spans="1:10" ht="15">
      <c r="D4" s="312"/>
      <c r="E4" s="312"/>
      <c r="F4" s="312"/>
      <c r="G4" s="312"/>
      <c r="H4" s="313"/>
      <c r="I4" s="312"/>
      <c r="J4" s="313"/>
    </row>
    <row r="5" spans="1:10" ht="15">
      <c r="D5" s="312"/>
      <c r="E5" s="313"/>
      <c r="F5" s="313"/>
      <c r="G5" s="313"/>
      <c r="H5" s="313"/>
      <c r="I5" s="313"/>
      <c r="J5" s="313"/>
    </row>
    <row r="6" spans="1:10" ht="32.25" thickBot="1">
      <c r="A6" s="314" t="s">
        <v>283</v>
      </c>
      <c r="B6" s="314"/>
      <c r="C6" s="314" t="s">
        <v>284</v>
      </c>
      <c r="D6" s="315" t="s">
        <v>307</v>
      </c>
      <c r="E6" s="316" t="s">
        <v>327</v>
      </c>
      <c r="F6" s="316" t="s">
        <v>328</v>
      </c>
      <c r="G6" s="316" t="s">
        <v>329</v>
      </c>
      <c r="H6" s="315" t="s">
        <v>330</v>
      </c>
      <c r="I6" s="315" t="s">
        <v>331</v>
      </c>
      <c r="J6" s="316" t="s">
        <v>332</v>
      </c>
    </row>
    <row r="7" spans="1:10" ht="15.75">
      <c r="A7" s="302"/>
      <c r="B7" s="302"/>
      <c r="C7" s="302" t="s">
        <v>333</v>
      </c>
      <c r="D7" s="317" t="s">
        <v>334</v>
      </c>
      <c r="E7" s="317"/>
      <c r="F7" s="317"/>
      <c r="G7" s="317" t="s">
        <v>335</v>
      </c>
      <c r="H7" s="317" t="s">
        <v>336</v>
      </c>
      <c r="I7" s="317" t="s">
        <v>337</v>
      </c>
      <c r="J7" s="317" t="s">
        <v>338</v>
      </c>
    </row>
    <row r="8" spans="1:10">
      <c r="I8" s="305"/>
    </row>
    <row r="9" spans="1:10">
      <c r="I9" s="305"/>
    </row>
    <row r="10" spans="1:10">
      <c r="A10" s="318">
        <v>1</v>
      </c>
      <c r="B10" s="319"/>
      <c r="C10" s="311" t="s">
        <v>339</v>
      </c>
      <c r="D10" s="320" t="s">
        <v>340</v>
      </c>
      <c r="E10" s="321">
        <f>E265</f>
        <v>-3020795046</v>
      </c>
      <c r="F10" s="321">
        <f>F265</f>
        <v>-2021768220.9899998</v>
      </c>
      <c r="G10" s="321">
        <f>+G265</f>
        <v>-847943014</v>
      </c>
      <c r="H10" s="321">
        <f>+H265</f>
        <v>19576927</v>
      </c>
      <c r="I10" s="321">
        <f>+I265</f>
        <v>-170660738.00999999</v>
      </c>
      <c r="J10" s="321"/>
    </row>
    <row r="11" spans="1:10">
      <c r="A11" s="319">
        <f t="shared" ref="A11:A16" si="0">A10+1</f>
        <v>2</v>
      </c>
      <c r="B11" s="319"/>
      <c r="C11" s="311" t="s">
        <v>341</v>
      </c>
      <c r="D11" s="320" t="s">
        <v>342</v>
      </c>
      <c r="E11" s="321">
        <f>E186</f>
        <v>-122977940</v>
      </c>
      <c r="F11" s="321">
        <f>F186</f>
        <v>-122977940</v>
      </c>
      <c r="G11" s="321">
        <f>G186</f>
        <v>0</v>
      </c>
      <c r="H11" s="321">
        <f>H186</f>
        <v>0</v>
      </c>
      <c r="I11" s="321">
        <f>I186</f>
        <v>0</v>
      </c>
      <c r="J11" s="321"/>
    </row>
    <row r="12" spans="1:10">
      <c r="A12" s="319">
        <f t="shared" si="0"/>
        <v>3</v>
      </c>
      <c r="B12" s="319"/>
      <c r="C12" s="311" t="s">
        <v>343</v>
      </c>
      <c r="D12" s="320" t="s">
        <v>344</v>
      </c>
      <c r="E12" s="321">
        <f>E407</f>
        <v>-675050648</v>
      </c>
      <c r="F12" s="321">
        <f>F407</f>
        <v>-666051280</v>
      </c>
      <c r="G12" s="321">
        <f>+G407</f>
        <v>0</v>
      </c>
      <c r="H12" s="321">
        <f>+H407</f>
        <v>-9862028</v>
      </c>
      <c r="I12" s="321">
        <f>+I407</f>
        <v>862660</v>
      </c>
      <c r="J12" s="321"/>
    </row>
    <row r="13" spans="1:10">
      <c r="A13" s="319">
        <f t="shared" si="0"/>
        <v>4</v>
      </c>
      <c r="B13" s="319"/>
      <c r="C13" s="311" t="s">
        <v>345</v>
      </c>
      <c r="D13" s="320" t="s">
        <v>346</v>
      </c>
      <c r="E13" s="1707">
        <f>E160</f>
        <v>1002278780</v>
      </c>
      <c r="F13" s="1707">
        <f>F160</f>
        <v>980211929</v>
      </c>
      <c r="G13" s="1707">
        <f>+G160</f>
        <v>1070561</v>
      </c>
      <c r="H13" s="1707">
        <f>+H160</f>
        <v>0</v>
      </c>
      <c r="I13" s="1707">
        <f>+I160</f>
        <v>20996290</v>
      </c>
      <c r="J13" s="321"/>
    </row>
    <row r="14" spans="1:10" ht="14.25" customHeight="1">
      <c r="A14" s="319">
        <f t="shared" si="0"/>
        <v>5</v>
      </c>
      <c r="B14" s="319"/>
      <c r="C14" s="311" t="s">
        <v>347</v>
      </c>
      <c r="D14" s="321" t="s">
        <v>348</v>
      </c>
      <c r="E14" s="321">
        <f>SUM(E10:E13)</f>
        <v>-2816544854</v>
      </c>
      <c r="F14" s="321">
        <f>SUM(F10:F13)</f>
        <v>-1830585511.9899998</v>
      </c>
      <c r="G14" s="321">
        <f>SUM(G10:G13)</f>
        <v>-846872453</v>
      </c>
      <c r="H14" s="321">
        <f>SUM(H10:H13)</f>
        <v>9714899</v>
      </c>
      <c r="I14" s="321">
        <f>SUM(I10:I13)</f>
        <v>-148801788.00999999</v>
      </c>
      <c r="J14" s="321"/>
    </row>
    <row r="15" spans="1:10" ht="14.25" customHeight="1">
      <c r="A15" s="319">
        <f t="shared" si="0"/>
        <v>6</v>
      </c>
      <c r="B15" s="319"/>
      <c r="C15" s="311" t="s">
        <v>349</v>
      </c>
      <c r="D15" s="320" t="s">
        <v>350</v>
      </c>
      <c r="G15" s="322">
        <v>1</v>
      </c>
      <c r="H15" s="322">
        <f>Allocator.net.plant</f>
        <v>0.37582955585006861</v>
      </c>
      <c r="I15" s="322">
        <f>Allocator.wages.salary</f>
        <v>9.4690139101538909E-2</v>
      </c>
    </row>
    <row r="16" spans="1:10">
      <c r="A16" s="319">
        <f t="shared" si="0"/>
        <v>7</v>
      </c>
      <c r="B16" s="319"/>
      <c r="C16" s="311" t="s">
        <v>351</v>
      </c>
      <c r="D16" s="320" t="str">
        <f>"Line "&amp;A14&amp;" * Allocator"</f>
        <v>Line 5 * Allocator</v>
      </c>
      <c r="E16" s="323"/>
      <c r="F16" s="323"/>
      <c r="G16" s="321">
        <f>G14</f>
        <v>-846872453</v>
      </c>
      <c r="H16" s="321">
        <f>H15*H14</f>
        <v>3651146.1762982756</v>
      </c>
      <c r="I16" s="321">
        <f>I15*I14</f>
        <v>-14090062.005224604</v>
      </c>
      <c r="J16" s="321"/>
    </row>
    <row r="17" spans="1:10">
      <c r="A17" s="319"/>
      <c r="B17" s="319"/>
      <c r="D17" s="320"/>
      <c r="E17" s="320"/>
      <c r="F17" s="320"/>
      <c r="H17" s="321"/>
      <c r="I17" s="321"/>
      <c r="J17" s="321"/>
    </row>
    <row r="18" spans="1:10">
      <c r="A18" s="319"/>
      <c r="I18" s="305"/>
    </row>
    <row r="19" spans="1:10">
      <c r="A19" s="319">
        <v>8</v>
      </c>
      <c r="B19" s="311"/>
      <c r="C19" s="311" t="s">
        <v>332</v>
      </c>
      <c r="D19" s="305" t="s">
        <v>352</v>
      </c>
      <c r="H19" s="321"/>
      <c r="I19" s="324" t="s">
        <v>353</v>
      </c>
      <c r="J19" s="1484">
        <f>SUM(G16:I16)</f>
        <v>-857311368.82892632</v>
      </c>
    </row>
    <row r="20" spans="1:10">
      <c r="I20" s="305"/>
    </row>
    <row r="21" spans="1:10" ht="12.75">
      <c r="A21" s="305"/>
      <c r="B21" s="305"/>
      <c r="C21" s="305"/>
      <c r="I21" s="305"/>
    </row>
    <row r="22" spans="1:10" ht="15">
      <c r="A22" s="325" t="s">
        <v>354</v>
      </c>
      <c r="B22" s="325"/>
    </row>
    <row r="23" spans="1:10" ht="15">
      <c r="A23" s="325" t="s">
        <v>355</v>
      </c>
      <c r="B23" s="325"/>
    </row>
    <row r="24" spans="1:10" ht="15">
      <c r="C24" s="326"/>
      <c r="D24" s="327"/>
      <c r="E24" s="327"/>
      <c r="F24" s="327"/>
      <c r="G24" s="327"/>
      <c r="H24" s="327"/>
    </row>
    <row r="25" spans="1:10" ht="15">
      <c r="A25" s="325" t="s">
        <v>356</v>
      </c>
      <c r="B25" s="325"/>
      <c r="H25" s="1609"/>
    </row>
    <row r="26" spans="1:10" ht="15">
      <c r="A26" s="302"/>
      <c r="B26" s="302"/>
      <c r="C26" s="1610" t="s">
        <v>230</v>
      </c>
      <c r="D26" s="328"/>
      <c r="E26" s="1610" t="s">
        <v>233</v>
      </c>
      <c r="F26" s="1610" t="s">
        <v>235</v>
      </c>
      <c r="G26" s="1610" t="s">
        <v>236</v>
      </c>
      <c r="H26" s="1610" t="s">
        <v>238</v>
      </c>
      <c r="I26" s="1610" t="s">
        <v>240</v>
      </c>
      <c r="J26" s="1610" t="s">
        <v>242</v>
      </c>
    </row>
    <row r="27" spans="1:10">
      <c r="D27" s="311"/>
      <c r="F27" s="329" t="s">
        <v>357</v>
      </c>
      <c r="H27" s="329"/>
      <c r="I27" s="329"/>
      <c r="J27" s="311"/>
    </row>
    <row r="28" spans="1:10">
      <c r="A28" s="311"/>
      <c r="B28" s="311"/>
      <c r="D28" s="311"/>
      <c r="E28" s="329" t="s">
        <v>111</v>
      </c>
      <c r="F28" s="329" t="s">
        <v>358</v>
      </c>
      <c r="G28" s="329" t="s">
        <v>359</v>
      </c>
      <c r="H28" s="329" t="s">
        <v>360</v>
      </c>
      <c r="I28" s="329" t="s">
        <v>361</v>
      </c>
      <c r="J28" s="311"/>
    </row>
    <row r="29" spans="1:10" ht="15">
      <c r="A29" s="325" t="s">
        <v>284</v>
      </c>
      <c r="B29" s="325"/>
      <c r="C29" s="1844" t="s">
        <v>362</v>
      </c>
      <c r="D29" s="1844"/>
      <c r="E29" s="329" t="s">
        <v>363</v>
      </c>
      <c r="F29" s="329" t="s">
        <v>364</v>
      </c>
      <c r="G29" s="329" t="s">
        <v>364</v>
      </c>
      <c r="H29" s="329" t="s">
        <v>364</v>
      </c>
      <c r="I29" s="329" t="s">
        <v>364</v>
      </c>
      <c r="J29" s="1611" t="s">
        <v>365</v>
      </c>
    </row>
    <row r="30" spans="1:10">
      <c r="D30" s="311"/>
      <c r="I30" s="305"/>
      <c r="J30" s="311"/>
    </row>
    <row r="31" spans="1:10" ht="15">
      <c r="A31" s="1612" t="s">
        <v>366</v>
      </c>
      <c r="B31" s="1613"/>
      <c r="C31" s="1613"/>
      <c r="D31" s="1614"/>
      <c r="E31" s="1615"/>
      <c r="F31" s="1615"/>
      <c r="G31" s="1615"/>
      <c r="H31" s="1615"/>
      <c r="I31" s="1615"/>
      <c r="J31" s="1616"/>
    </row>
    <row r="32" spans="1:10" ht="12.75">
      <c r="A32" s="1470" t="s">
        <v>367</v>
      </c>
      <c r="B32" s="1471"/>
      <c r="C32" s="1617"/>
      <c r="D32" s="1618"/>
      <c r="E32" s="1619"/>
      <c r="F32" s="1619"/>
      <c r="G32" s="1619"/>
      <c r="H32" s="1619"/>
      <c r="I32" s="1619"/>
      <c r="J32" s="1620"/>
    </row>
    <row r="33" spans="1:10" ht="12.75">
      <c r="A33" s="1621">
        <v>287220</v>
      </c>
      <c r="B33" s="1622">
        <v>720.56</v>
      </c>
      <c r="C33" s="1623" t="s">
        <v>1621</v>
      </c>
      <c r="D33" s="1624"/>
      <c r="E33" s="1472">
        <v>19634111</v>
      </c>
      <c r="F33" s="1472">
        <f>E33</f>
        <v>19634111</v>
      </c>
      <c r="G33" s="1472">
        <v>0</v>
      </c>
      <c r="H33" s="1472">
        <v>0</v>
      </c>
      <c r="I33" s="1625">
        <v>0</v>
      </c>
      <c r="J33" s="1626" t="s">
        <v>1919</v>
      </c>
    </row>
    <row r="34" spans="1:10" ht="25.5">
      <c r="A34" s="1627">
        <v>287300</v>
      </c>
      <c r="B34" s="1628">
        <v>920.18200000000002</v>
      </c>
      <c r="C34" s="1629" t="s">
        <v>368</v>
      </c>
      <c r="D34" s="1630"/>
      <c r="E34" s="1472">
        <v>5513378</v>
      </c>
      <c r="F34" s="1472">
        <v>0</v>
      </c>
      <c r="G34" s="1472">
        <v>0</v>
      </c>
      <c r="H34" s="1472">
        <v>0</v>
      </c>
      <c r="I34" s="1472">
        <f t="shared" ref="I34:I38" si="1">E34</f>
        <v>5513378</v>
      </c>
      <c r="J34" s="1631" t="s">
        <v>1920</v>
      </c>
    </row>
    <row r="35" spans="1:10" ht="12.75">
      <c r="A35" s="1627">
        <v>287324</v>
      </c>
      <c r="B35" s="1628">
        <v>720.2</v>
      </c>
      <c r="C35" s="1629" t="s">
        <v>1622</v>
      </c>
      <c r="D35" s="1630"/>
      <c r="E35" s="1472">
        <v>1667845</v>
      </c>
      <c r="F35" s="1472">
        <v>0</v>
      </c>
      <c r="G35" s="1472">
        <v>0</v>
      </c>
      <c r="H35" s="1472">
        <v>0</v>
      </c>
      <c r="I35" s="1472">
        <f t="shared" si="1"/>
        <v>1667845</v>
      </c>
      <c r="J35" s="1631" t="s">
        <v>369</v>
      </c>
    </row>
    <row r="36" spans="1:10" ht="25.5">
      <c r="A36" s="1627">
        <v>287326</v>
      </c>
      <c r="B36" s="1628">
        <v>720.5</v>
      </c>
      <c r="C36" s="1629" t="s">
        <v>370</v>
      </c>
      <c r="D36" s="1630"/>
      <c r="E36" s="1472">
        <v>617513</v>
      </c>
      <c r="F36" s="1472">
        <v>0</v>
      </c>
      <c r="G36" s="1472">
        <v>0</v>
      </c>
      <c r="H36" s="1472">
        <v>0</v>
      </c>
      <c r="I36" s="1472">
        <f t="shared" si="1"/>
        <v>617513</v>
      </c>
      <c r="J36" s="1474" t="s">
        <v>371</v>
      </c>
    </row>
    <row r="37" spans="1:10" ht="25.5">
      <c r="A37" s="1627">
        <v>287327</v>
      </c>
      <c r="B37" s="1628">
        <v>720.3</v>
      </c>
      <c r="C37" s="1629" t="s">
        <v>1623</v>
      </c>
      <c r="D37" s="1630"/>
      <c r="E37" s="1472">
        <v>245912</v>
      </c>
      <c r="F37" s="1472">
        <f>E37</f>
        <v>245912</v>
      </c>
      <c r="G37" s="1472">
        <v>0</v>
      </c>
      <c r="H37" s="1472">
        <v>0</v>
      </c>
      <c r="I37" s="1472">
        <v>0</v>
      </c>
      <c r="J37" s="1631" t="s">
        <v>372</v>
      </c>
    </row>
    <row r="38" spans="1:10" ht="25.5">
      <c r="A38" s="1627">
        <v>287332</v>
      </c>
      <c r="B38" s="1628">
        <v>505.6</v>
      </c>
      <c r="C38" s="1629" t="s">
        <v>373</v>
      </c>
      <c r="D38" s="1630"/>
      <c r="E38" s="1472">
        <v>7857423</v>
      </c>
      <c r="F38" s="1472">
        <v>0</v>
      </c>
      <c r="G38" s="1472">
        <v>0</v>
      </c>
      <c r="H38" s="1472">
        <v>0</v>
      </c>
      <c r="I38" s="1472">
        <f t="shared" si="1"/>
        <v>7857423</v>
      </c>
      <c r="J38" s="1474" t="s">
        <v>374</v>
      </c>
    </row>
    <row r="39" spans="1:10" ht="25.5">
      <c r="A39" s="1627">
        <v>287373</v>
      </c>
      <c r="B39" s="1628">
        <v>910.58</v>
      </c>
      <c r="C39" s="1629" t="s">
        <v>1624</v>
      </c>
      <c r="D39" s="1630"/>
      <c r="E39" s="1472">
        <v>374065</v>
      </c>
      <c r="F39" s="1472">
        <v>0</v>
      </c>
      <c r="G39" s="1472">
        <v>0</v>
      </c>
      <c r="H39" s="1472">
        <v>0</v>
      </c>
      <c r="I39" s="1472">
        <f>E39</f>
        <v>374065</v>
      </c>
      <c r="J39" s="1631" t="s">
        <v>1921</v>
      </c>
    </row>
    <row r="40" spans="1:10" ht="12.75">
      <c r="A40" s="1627">
        <v>287399</v>
      </c>
      <c r="B40" s="1628">
        <v>920.15</v>
      </c>
      <c r="C40" s="1629" t="s">
        <v>1625</v>
      </c>
      <c r="D40" s="1630"/>
      <c r="E40" s="1472">
        <v>4966066</v>
      </c>
      <c r="F40" s="1472">
        <v>0</v>
      </c>
      <c r="G40" s="1472">
        <v>0</v>
      </c>
      <c r="H40" s="1472">
        <v>0</v>
      </c>
      <c r="I40" s="1472">
        <f>E40</f>
        <v>4966066</v>
      </c>
      <c r="J40" s="1631" t="s">
        <v>375</v>
      </c>
    </row>
    <row r="41" spans="1:10" ht="12.75">
      <c r="A41" s="1627">
        <v>287462</v>
      </c>
      <c r="B41" s="1628">
        <v>720.82</v>
      </c>
      <c r="C41" s="1629" t="s">
        <v>377</v>
      </c>
      <c r="D41" s="1630"/>
      <c r="E41" s="1472">
        <v>10160133</v>
      </c>
      <c r="F41" s="1472">
        <f>E41</f>
        <v>10160133</v>
      </c>
      <c r="G41" s="1472">
        <v>0</v>
      </c>
      <c r="H41" s="1472">
        <v>0</v>
      </c>
      <c r="I41" s="1472">
        <v>0</v>
      </c>
      <c r="J41" s="1631" t="s">
        <v>378</v>
      </c>
    </row>
    <row r="42" spans="1:10" ht="12.75">
      <c r="A42" s="1470" t="s">
        <v>379</v>
      </c>
      <c r="B42" s="1471"/>
      <c r="C42" s="1617"/>
      <c r="D42" s="1630"/>
      <c r="E42" s="1472"/>
      <c r="F42" s="1473"/>
      <c r="G42" s="1473"/>
      <c r="H42" s="1473"/>
      <c r="I42" s="1473"/>
      <c r="J42" s="1631"/>
    </row>
    <row r="43" spans="1:10" ht="12.75">
      <c r="A43" s="1627">
        <v>287249</v>
      </c>
      <c r="B43" s="1628">
        <v>415.839</v>
      </c>
      <c r="C43" s="1617" t="s">
        <v>381</v>
      </c>
      <c r="D43" s="1630"/>
      <c r="E43" s="1472">
        <v>0</v>
      </c>
      <c r="F43" s="1472">
        <f>E43</f>
        <v>0</v>
      </c>
      <c r="G43" s="1472">
        <v>0</v>
      </c>
      <c r="H43" s="1472">
        <v>0</v>
      </c>
      <c r="I43" s="1472">
        <v>0</v>
      </c>
      <c r="J43" s="1631" t="s">
        <v>1922</v>
      </c>
    </row>
    <row r="44" spans="1:10" ht="12.75">
      <c r="A44" s="1470" t="s">
        <v>382</v>
      </c>
      <c r="B44" s="1471"/>
      <c r="C44" s="1617"/>
      <c r="D44" s="1630"/>
      <c r="E44" s="1472"/>
      <c r="F44" s="1472"/>
      <c r="G44" s="1472"/>
      <c r="H44" s="1472"/>
      <c r="I44" s="1472"/>
      <c r="J44" s="1631"/>
    </row>
    <row r="45" spans="1:10" ht="25.5">
      <c r="A45" s="1627">
        <v>286945</v>
      </c>
      <c r="B45" s="1628">
        <v>715.29499999999996</v>
      </c>
      <c r="C45" s="1617" t="s">
        <v>2052</v>
      </c>
      <c r="D45" s="1630"/>
      <c r="E45" s="1472">
        <v>158887</v>
      </c>
      <c r="F45" s="1472">
        <f>E45</f>
        <v>158887</v>
      </c>
      <c r="G45" s="1472">
        <v>0</v>
      </c>
      <c r="H45" s="1472">
        <v>0</v>
      </c>
      <c r="I45" s="1472">
        <v>0</v>
      </c>
      <c r="J45" s="1631" t="s">
        <v>2053</v>
      </c>
    </row>
    <row r="46" spans="1:10" ht="25.5">
      <c r="A46" s="1627">
        <v>286952</v>
      </c>
      <c r="B46" s="1628">
        <v>715.29600000000005</v>
      </c>
      <c r="C46" s="1617" t="s">
        <v>2102</v>
      </c>
      <c r="D46" s="1630"/>
      <c r="E46" s="1472">
        <v>835944</v>
      </c>
      <c r="F46" s="1472">
        <f>E46</f>
        <v>835944</v>
      </c>
      <c r="G46" s="1472">
        <v>0</v>
      </c>
      <c r="H46" s="1472">
        <v>0</v>
      </c>
      <c r="I46" s="1472">
        <v>0</v>
      </c>
      <c r="J46" s="1631" t="s">
        <v>2103</v>
      </c>
    </row>
    <row r="47" spans="1:10" ht="25.5">
      <c r="A47" s="1627">
        <v>287045</v>
      </c>
      <c r="B47" s="1628">
        <v>610.15499999999997</v>
      </c>
      <c r="C47" s="1629" t="s">
        <v>1923</v>
      </c>
      <c r="D47" s="1630"/>
      <c r="E47" s="1472">
        <v>999988</v>
      </c>
      <c r="F47" s="1472">
        <f t="shared" ref="F47:F76" si="2">E47</f>
        <v>999988</v>
      </c>
      <c r="G47" s="1472">
        <v>0</v>
      </c>
      <c r="H47" s="1472">
        <v>0</v>
      </c>
      <c r="I47" s="1472">
        <v>0</v>
      </c>
      <c r="J47" s="1631" t="s">
        <v>1924</v>
      </c>
    </row>
    <row r="48" spans="1:10" ht="38.25">
      <c r="A48" s="1627">
        <v>287047</v>
      </c>
      <c r="B48" s="1628">
        <v>610.15</v>
      </c>
      <c r="C48" s="1629" t="s">
        <v>1925</v>
      </c>
      <c r="D48" s="1630"/>
      <c r="E48" s="1472">
        <v>2683254</v>
      </c>
      <c r="F48" s="1472">
        <f t="shared" si="2"/>
        <v>2683254</v>
      </c>
      <c r="G48" s="1472">
        <v>0</v>
      </c>
      <c r="H48" s="1472">
        <v>0</v>
      </c>
      <c r="I48" s="1472">
        <v>0</v>
      </c>
      <c r="J48" s="1631" t="s">
        <v>1926</v>
      </c>
    </row>
    <row r="49" spans="1:10" ht="38.25">
      <c r="A49" s="1627">
        <v>287048</v>
      </c>
      <c r="B49" s="1628">
        <v>705.42499999999995</v>
      </c>
      <c r="C49" s="1629" t="s">
        <v>1927</v>
      </c>
      <c r="D49" s="1630"/>
      <c r="E49" s="1472">
        <v>1880438</v>
      </c>
      <c r="F49" s="1472">
        <f t="shared" si="2"/>
        <v>1880438</v>
      </c>
      <c r="G49" s="1472">
        <v>0</v>
      </c>
      <c r="H49" s="1472">
        <v>0</v>
      </c>
      <c r="I49" s="1472">
        <v>0</v>
      </c>
      <c r="J49" s="1631" t="s">
        <v>1928</v>
      </c>
    </row>
    <row r="50" spans="1:10" ht="25.5">
      <c r="A50" s="1627">
        <v>287049</v>
      </c>
      <c r="B50" s="1628">
        <v>705.35199999999998</v>
      </c>
      <c r="C50" s="1629" t="s">
        <v>1929</v>
      </c>
      <c r="D50" s="1630"/>
      <c r="E50" s="1472">
        <v>64362</v>
      </c>
      <c r="F50" s="1472">
        <f t="shared" si="2"/>
        <v>64362</v>
      </c>
      <c r="G50" s="1472">
        <v>0</v>
      </c>
      <c r="H50" s="1472">
        <v>0</v>
      </c>
      <c r="I50" s="1472">
        <v>0</v>
      </c>
      <c r="J50" s="1631" t="s">
        <v>1930</v>
      </c>
    </row>
    <row r="51" spans="1:10" ht="38.25">
      <c r="A51" s="1627">
        <v>287055</v>
      </c>
      <c r="B51" s="1628">
        <v>705.34400000000005</v>
      </c>
      <c r="C51" s="1629" t="s">
        <v>1931</v>
      </c>
      <c r="D51" s="1630"/>
      <c r="E51" s="1472">
        <v>1445846</v>
      </c>
      <c r="F51" s="1472">
        <f t="shared" si="2"/>
        <v>1445846</v>
      </c>
      <c r="G51" s="1472">
        <v>0</v>
      </c>
      <c r="H51" s="1472">
        <v>0</v>
      </c>
      <c r="I51" s="1472">
        <v>0</v>
      </c>
      <c r="J51" s="1631" t="s">
        <v>1626</v>
      </c>
    </row>
    <row r="52" spans="1:10" ht="38.25">
      <c r="A52" s="1627">
        <v>287056</v>
      </c>
      <c r="B52" s="1628">
        <v>705.34500000000003</v>
      </c>
      <c r="C52" s="1629" t="s">
        <v>1932</v>
      </c>
      <c r="D52" s="1630"/>
      <c r="E52" s="1472">
        <v>207551</v>
      </c>
      <c r="F52" s="1472">
        <f t="shared" si="2"/>
        <v>207551</v>
      </c>
      <c r="G52" s="1472">
        <v>0</v>
      </c>
      <c r="H52" s="1472">
        <v>0</v>
      </c>
      <c r="I52" s="1472">
        <v>0</v>
      </c>
      <c r="J52" s="1631" t="s">
        <v>1933</v>
      </c>
    </row>
    <row r="53" spans="1:10" ht="25.5">
      <c r="A53" s="1627">
        <v>287058</v>
      </c>
      <c r="B53" s="1628">
        <v>100.119</v>
      </c>
      <c r="C53" s="1629" t="s">
        <v>2104</v>
      </c>
      <c r="D53" s="1630"/>
      <c r="E53" s="1472">
        <v>-14169390</v>
      </c>
      <c r="F53" s="1472">
        <f>E53</f>
        <v>-14169390</v>
      </c>
      <c r="G53" s="1472">
        <v>0</v>
      </c>
      <c r="H53" s="1472">
        <v>0</v>
      </c>
      <c r="I53" s="1472">
        <v>0</v>
      </c>
      <c r="J53" s="1631" t="s">
        <v>2105</v>
      </c>
    </row>
    <row r="54" spans="1:10" ht="25.5">
      <c r="A54" s="1627">
        <v>287061</v>
      </c>
      <c r="B54" s="1628">
        <v>705.346</v>
      </c>
      <c r="C54" s="1629" t="s">
        <v>1627</v>
      </c>
      <c r="D54" s="1630"/>
      <c r="E54" s="1472">
        <v>173292</v>
      </c>
      <c r="F54" s="1472">
        <f t="shared" si="2"/>
        <v>173292</v>
      </c>
      <c r="G54" s="1472">
        <v>0</v>
      </c>
      <c r="H54" s="1472">
        <v>0</v>
      </c>
      <c r="I54" s="1472">
        <v>0</v>
      </c>
      <c r="J54" s="1631" t="s">
        <v>1628</v>
      </c>
    </row>
    <row r="55" spans="1:10" ht="25.5">
      <c r="A55" s="1627">
        <v>287063</v>
      </c>
      <c r="B55" s="1628">
        <v>705.34799999999996</v>
      </c>
      <c r="C55" s="1629" t="s">
        <v>1934</v>
      </c>
      <c r="D55" s="1630"/>
      <c r="E55" s="1472">
        <v>439</v>
      </c>
      <c r="F55" s="1472">
        <f t="shared" si="2"/>
        <v>439</v>
      </c>
      <c r="G55" s="1472">
        <v>0</v>
      </c>
      <c r="H55" s="1472">
        <v>0</v>
      </c>
      <c r="I55" s="1472">
        <v>0</v>
      </c>
      <c r="J55" s="1631" t="s">
        <v>1935</v>
      </c>
    </row>
    <row r="56" spans="1:10" ht="25.5">
      <c r="A56" s="1627">
        <v>287065</v>
      </c>
      <c r="B56" s="1628">
        <v>705.35</v>
      </c>
      <c r="C56" s="1629" t="s">
        <v>1629</v>
      </c>
      <c r="D56" s="1630"/>
      <c r="E56" s="1472">
        <v>1570068</v>
      </c>
      <c r="F56" s="1472">
        <f t="shared" si="2"/>
        <v>1570068</v>
      </c>
      <c r="G56" s="1472">
        <v>0</v>
      </c>
      <c r="H56" s="1472">
        <v>0</v>
      </c>
      <c r="I56" s="1472">
        <v>0</v>
      </c>
      <c r="J56" s="1631" t="s">
        <v>1630</v>
      </c>
    </row>
    <row r="57" spans="1:10" ht="25.5">
      <c r="A57" s="1627">
        <v>287066</v>
      </c>
      <c r="B57" s="1628">
        <v>705.351</v>
      </c>
      <c r="C57" s="1629" t="s">
        <v>1631</v>
      </c>
      <c r="D57" s="1630"/>
      <c r="E57" s="1472">
        <v>1693871</v>
      </c>
      <c r="F57" s="1472">
        <f t="shared" si="2"/>
        <v>1693871</v>
      </c>
      <c r="G57" s="1472">
        <v>0</v>
      </c>
      <c r="H57" s="1472">
        <v>0</v>
      </c>
      <c r="I57" s="1472">
        <v>0</v>
      </c>
      <c r="J57" s="1631" t="s">
        <v>1632</v>
      </c>
    </row>
    <row r="58" spans="1:10" ht="38.25">
      <c r="A58" s="1627">
        <v>287068</v>
      </c>
      <c r="B58" s="1628">
        <v>705.30200000000002</v>
      </c>
      <c r="C58" s="1629" t="s">
        <v>2106</v>
      </c>
      <c r="D58" s="1630"/>
      <c r="E58" s="1472">
        <v>113616</v>
      </c>
      <c r="F58" s="1472">
        <f t="shared" si="2"/>
        <v>113616</v>
      </c>
      <c r="G58" s="1472">
        <v>0</v>
      </c>
      <c r="H58" s="1472">
        <v>0</v>
      </c>
      <c r="I58" s="1472">
        <v>0</v>
      </c>
      <c r="J58" s="1631" t="s">
        <v>2107</v>
      </c>
    </row>
    <row r="59" spans="1:10" ht="39.75" customHeight="1">
      <c r="A59" s="1627">
        <v>287069</v>
      </c>
      <c r="B59" s="1628">
        <v>705.24199999999996</v>
      </c>
      <c r="C59" s="1629" t="s">
        <v>2108</v>
      </c>
      <c r="D59" s="1630"/>
      <c r="E59" s="1472">
        <v>-124221</v>
      </c>
      <c r="F59" s="1472">
        <f t="shared" si="2"/>
        <v>-124221</v>
      </c>
      <c r="G59" s="1472">
        <v>0</v>
      </c>
      <c r="H59" s="1472">
        <v>0</v>
      </c>
      <c r="I59" s="1472">
        <v>0</v>
      </c>
      <c r="J59" s="1631" t="s">
        <v>2109</v>
      </c>
    </row>
    <row r="60" spans="1:10" ht="38.25">
      <c r="A60" s="1627">
        <v>287111</v>
      </c>
      <c r="B60" s="1628">
        <v>705.28700000000003</v>
      </c>
      <c r="C60" s="1629" t="s">
        <v>1633</v>
      </c>
      <c r="D60" s="1630"/>
      <c r="E60" s="1472">
        <v>7305038</v>
      </c>
      <c r="F60" s="1472">
        <f t="shared" si="2"/>
        <v>7305038</v>
      </c>
      <c r="G60" s="1472">
        <v>0</v>
      </c>
      <c r="H60" s="1472">
        <v>0</v>
      </c>
      <c r="I60" s="1472">
        <v>0</v>
      </c>
      <c r="J60" s="1631" t="s">
        <v>1634</v>
      </c>
    </row>
    <row r="61" spans="1:10" ht="38.25">
      <c r="A61" s="1627">
        <v>287112</v>
      </c>
      <c r="B61" s="1628">
        <v>705.28800000000001</v>
      </c>
      <c r="C61" s="1629" t="s">
        <v>1635</v>
      </c>
      <c r="D61" s="1630"/>
      <c r="E61" s="1472">
        <v>18672574</v>
      </c>
      <c r="F61" s="1472">
        <f t="shared" si="2"/>
        <v>18672574</v>
      </c>
      <c r="G61" s="1472">
        <v>0</v>
      </c>
      <c r="H61" s="1472">
        <v>0</v>
      </c>
      <c r="I61" s="1472">
        <v>0</v>
      </c>
      <c r="J61" s="1631" t="s">
        <v>1636</v>
      </c>
    </row>
    <row r="62" spans="1:10" ht="38.25">
      <c r="A62" s="1627">
        <v>287113</v>
      </c>
      <c r="B62" s="1628">
        <v>705.28899999999999</v>
      </c>
      <c r="C62" s="1629" t="s">
        <v>1637</v>
      </c>
      <c r="D62" s="1630"/>
      <c r="E62" s="1472">
        <v>81175414</v>
      </c>
      <c r="F62" s="1472">
        <f t="shared" si="2"/>
        <v>81175414</v>
      </c>
      <c r="G62" s="1472">
        <v>0</v>
      </c>
      <c r="H62" s="1472">
        <v>0</v>
      </c>
      <c r="I62" s="1472">
        <v>0</v>
      </c>
      <c r="J62" s="1631" t="s">
        <v>1638</v>
      </c>
    </row>
    <row r="63" spans="1:10" ht="38.25">
      <c r="A63" s="1627">
        <v>287114</v>
      </c>
      <c r="B63" s="1628">
        <v>705.29</v>
      </c>
      <c r="C63" s="1629" t="s">
        <v>1639</v>
      </c>
      <c r="D63" s="1630"/>
      <c r="E63" s="1472">
        <v>16859840</v>
      </c>
      <c r="F63" s="1472">
        <f t="shared" si="2"/>
        <v>16859840</v>
      </c>
      <c r="G63" s="1472">
        <v>0</v>
      </c>
      <c r="H63" s="1472">
        <v>0</v>
      </c>
      <c r="I63" s="1472">
        <v>0</v>
      </c>
      <c r="J63" s="1631" t="s">
        <v>1640</v>
      </c>
    </row>
    <row r="64" spans="1:10" ht="38.25">
      <c r="A64" s="1627">
        <v>287115</v>
      </c>
      <c r="B64" s="1628">
        <v>705.29100000000005</v>
      </c>
      <c r="C64" s="1629" t="s">
        <v>1641</v>
      </c>
      <c r="D64" s="1630"/>
      <c r="E64" s="1472">
        <v>46079390</v>
      </c>
      <c r="F64" s="1472">
        <f t="shared" si="2"/>
        <v>46079390</v>
      </c>
      <c r="G64" s="1472">
        <v>0</v>
      </c>
      <c r="H64" s="1472">
        <v>0</v>
      </c>
      <c r="I64" s="1472">
        <v>0</v>
      </c>
      <c r="J64" s="1631" t="s">
        <v>1642</v>
      </c>
    </row>
    <row r="65" spans="1:10" ht="38.25">
      <c r="A65" s="1627">
        <v>287116</v>
      </c>
      <c r="B65" s="1628">
        <v>705.29200000000003</v>
      </c>
      <c r="C65" s="1629" t="s">
        <v>1643</v>
      </c>
      <c r="D65" s="1630"/>
      <c r="E65" s="1472">
        <v>144796661</v>
      </c>
      <c r="F65" s="1472">
        <f t="shared" si="2"/>
        <v>144796661</v>
      </c>
      <c r="G65" s="1472">
        <v>0</v>
      </c>
      <c r="H65" s="1472">
        <v>0</v>
      </c>
      <c r="I65" s="1472">
        <v>0</v>
      </c>
      <c r="J65" s="1631" t="s">
        <v>1644</v>
      </c>
    </row>
    <row r="66" spans="1:10" ht="38.25">
      <c r="A66" s="1627">
        <v>287121</v>
      </c>
      <c r="B66" s="1628">
        <v>705.29399999999998</v>
      </c>
      <c r="C66" s="1629" t="s">
        <v>1645</v>
      </c>
      <c r="D66" s="1630"/>
      <c r="E66" s="1472">
        <v>-1</v>
      </c>
      <c r="F66" s="1472">
        <f t="shared" si="2"/>
        <v>-1</v>
      </c>
      <c r="G66" s="1472">
        <v>0</v>
      </c>
      <c r="H66" s="1472">
        <v>0</v>
      </c>
      <c r="I66" s="1472">
        <v>0</v>
      </c>
      <c r="J66" s="1631" t="s">
        <v>1646</v>
      </c>
    </row>
    <row r="67" spans="1:10" ht="38.25">
      <c r="A67" s="1627">
        <v>287124</v>
      </c>
      <c r="B67" s="1628">
        <v>705.29600000000005</v>
      </c>
      <c r="C67" s="1629" t="s">
        <v>1647</v>
      </c>
      <c r="D67" s="1630"/>
      <c r="E67" s="1472">
        <v>2577713</v>
      </c>
      <c r="F67" s="1472">
        <f t="shared" si="2"/>
        <v>2577713</v>
      </c>
      <c r="G67" s="1472">
        <v>0</v>
      </c>
      <c r="H67" s="1472">
        <v>0</v>
      </c>
      <c r="I67" s="1472">
        <v>0</v>
      </c>
      <c r="J67" s="1631" t="s">
        <v>1648</v>
      </c>
    </row>
    <row r="68" spans="1:10" ht="38.25">
      <c r="A68" s="1627">
        <v>287125</v>
      </c>
      <c r="B68" s="1628">
        <v>705.29700000000003</v>
      </c>
      <c r="C68" s="1629" t="s">
        <v>1649</v>
      </c>
      <c r="D68" s="1630"/>
      <c r="E68" s="1472">
        <v>1978575</v>
      </c>
      <c r="F68" s="1472">
        <f t="shared" si="2"/>
        <v>1978575</v>
      </c>
      <c r="G68" s="1472">
        <v>0</v>
      </c>
      <c r="H68" s="1472">
        <v>0</v>
      </c>
      <c r="I68" s="1472">
        <v>0</v>
      </c>
      <c r="J68" s="1631" t="s">
        <v>1650</v>
      </c>
    </row>
    <row r="69" spans="1:10" ht="25.5">
      <c r="A69" s="1627">
        <v>287171</v>
      </c>
      <c r="B69" s="1628">
        <v>415.94</v>
      </c>
      <c r="C69" s="1629" t="s">
        <v>2110</v>
      </c>
      <c r="D69" s="1630"/>
      <c r="E69" s="1472">
        <v>182598</v>
      </c>
      <c r="F69" s="1472">
        <f t="shared" si="2"/>
        <v>182598</v>
      </c>
      <c r="G69" s="1472">
        <v>0</v>
      </c>
      <c r="H69" s="1472">
        <v>0</v>
      </c>
      <c r="I69" s="1472">
        <v>0</v>
      </c>
      <c r="J69" s="1631" t="s">
        <v>2111</v>
      </c>
    </row>
    <row r="70" spans="1:10" ht="25.5">
      <c r="A70" s="1627">
        <v>287173</v>
      </c>
      <c r="B70" s="1628">
        <v>415.94200000000001</v>
      </c>
      <c r="C70" s="1629" t="s">
        <v>1936</v>
      </c>
      <c r="D70" s="1630"/>
      <c r="E70" s="1472">
        <v>2632942</v>
      </c>
      <c r="F70" s="1472">
        <f t="shared" si="2"/>
        <v>2632942</v>
      </c>
      <c r="G70" s="1472">
        <v>0</v>
      </c>
      <c r="H70" s="1472">
        <v>0</v>
      </c>
      <c r="I70" s="1472">
        <v>0</v>
      </c>
      <c r="J70" s="1631" t="s">
        <v>1937</v>
      </c>
    </row>
    <row r="71" spans="1:10" ht="14.25" customHeight="1">
      <c r="A71" s="1627">
        <v>287174</v>
      </c>
      <c r="B71" s="1628">
        <v>705.41</v>
      </c>
      <c r="C71" s="1629" t="s">
        <v>1938</v>
      </c>
      <c r="D71" s="1630"/>
      <c r="E71" s="1472">
        <v>-4398</v>
      </c>
      <c r="F71" s="1472">
        <f t="shared" si="2"/>
        <v>-4398</v>
      </c>
      <c r="G71" s="1472">
        <v>0</v>
      </c>
      <c r="H71" s="1472">
        <v>0</v>
      </c>
      <c r="I71" s="1472">
        <v>0</v>
      </c>
      <c r="J71" s="1631" t="s">
        <v>1939</v>
      </c>
    </row>
    <row r="72" spans="1:10" ht="12.75">
      <c r="A72" s="1627">
        <v>287175</v>
      </c>
      <c r="B72" s="1628">
        <v>705.41099999999994</v>
      </c>
      <c r="C72" s="1629" t="s">
        <v>1940</v>
      </c>
      <c r="D72" s="1630"/>
      <c r="E72" s="1472">
        <v>535029</v>
      </c>
      <c r="F72" s="1472">
        <f t="shared" si="2"/>
        <v>535029</v>
      </c>
      <c r="G72" s="1472">
        <v>0</v>
      </c>
      <c r="H72" s="1472">
        <v>0</v>
      </c>
      <c r="I72" s="1472">
        <v>0</v>
      </c>
      <c r="J72" s="1631" t="s">
        <v>1941</v>
      </c>
    </row>
    <row r="73" spans="1:10" ht="12.75">
      <c r="A73" s="1627">
        <v>287176</v>
      </c>
      <c r="B73" s="1628">
        <v>705.41200000000003</v>
      </c>
      <c r="C73" s="1629" t="s">
        <v>1823</v>
      </c>
      <c r="D73" s="1630"/>
      <c r="E73" s="1472">
        <v>1684492</v>
      </c>
      <c r="F73" s="1472">
        <f t="shared" si="2"/>
        <v>1684492</v>
      </c>
      <c r="G73" s="1472">
        <v>0</v>
      </c>
      <c r="H73" s="1472">
        <v>0</v>
      </c>
      <c r="I73" s="1472">
        <v>0</v>
      </c>
      <c r="J73" s="1631" t="s">
        <v>1824</v>
      </c>
    </row>
    <row r="74" spans="1:10" ht="12.75">
      <c r="A74" s="1627">
        <v>287177</v>
      </c>
      <c r="B74" s="1628">
        <v>705.41300000000001</v>
      </c>
      <c r="C74" s="1629" t="s">
        <v>1825</v>
      </c>
      <c r="D74" s="1630"/>
      <c r="E74" s="1472">
        <v>4056978</v>
      </c>
      <c r="F74" s="1472">
        <f t="shared" si="2"/>
        <v>4056978</v>
      </c>
      <c r="G74" s="1472">
        <v>0</v>
      </c>
      <c r="H74" s="1472">
        <v>0</v>
      </c>
      <c r="I74" s="1472">
        <v>0</v>
      </c>
      <c r="J74" s="1631" t="s">
        <v>1826</v>
      </c>
    </row>
    <row r="75" spans="1:10" ht="14.25" customHeight="1">
      <c r="A75" s="1627">
        <v>287178</v>
      </c>
      <c r="B75" s="1628">
        <v>705.41399999999999</v>
      </c>
      <c r="C75" s="1629" t="s">
        <v>1942</v>
      </c>
      <c r="D75" s="1630"/>
      <c r="E75" s="1472">
        <v>57330</v>
      </c>
      <c r="F75" s="1472">
        <f>E75</f>
        <v>57330</v>
      </c>
      <c r="G75" s="1472">
        <v>0</v>
      </c>
      <c r="H75" s="1472">
        <v>0</v>
      </c>
      <c r="I75" s="1472">
        <v>0</v>
      </c>
      <c r="J75" s="1631" t="s">
        <v>1943</v>
      </c>
    </row>
    <row r="76" spans="1:10" ht="25.5">
      <c r="A76" s="1627">
        <v>287184</v>
      </c>
      <c r="B76" s="1628">
        <v>705.60500000000002</v>
      </c>
      <c r="C76" s="1629" t="s">
        <v>1944</v>
      </c>
      <c r="D76" s="1630"/>
      <c r="E76" s="1472">
        <v>2293000</v>
      </c>
      <c r="F76" s="1472">
        <f t="shared" si="2"/>
        <v>2293000</v>
      </c>
      <c r="G76" s="1472">
        <v>0</v>
      </c>
      <c r="H76" s="1472">
        <v>0</v>
      </c>
      <c r="I76" s="1472">
        <v>0</v>
      </c>
      <c r="J76" s="1631" t="s">
        <v>1855</v>
      </c>
    </row>
    <row r="77" spans="1:10" ht="25.5">
      <c r="A77" s="1627">
        <v>287188</v>
      </c>
      <c r="B77" s="1812">
        <v>100.121</v>
      </c>
      <c r="C77" s="1617" t="s">
        <v>1945</v>
      </c>
      <c r="D77" s="1630"/>
      <c r="E77" s="1472">
        <v>-62034806</v>
      </c>
      <c r="F77" s="1473">
        <f>E77</f>
        <v>-62034806</v>
      </c>
      <c r="G77" s="1473">
        <v>0</v>
      </c>
      <c r="H77" s="1473">
        <v>0</v>
      </c>
      <c r="I77" s="1473">
        <v>0</v>
      </c>
      <c r="J77" s="1631" t="s">
        <v>1946</v>
      </c>
    </row>
    <row r="78" spans="1:10" ht="25.5">
      <c r="A78" s="1627">
        <v>287190</v>
      </c>
      <c r="B78" s="1628">
        <v>100.122</v>
      </c>
      <c r="C78" s="1633" t="s">
        <v>1947</v>
      </c>
      <c r="D78" s="1630"/>
      <c r="E78" s="1472">
        <v>441821</v>
      </c>
      <c r="F78" s="1473">
        <f>E78</f>
        <v>441821</v>
      </c>
      <c r="G78" s="1473">
        <v>0</v>
      </c>
      <c r="H78" s="1473">
        <v>0</v>
      </c>
      <c r="I78" s="1473">
        <v>0</v>
      </c>
      <c r="J78" s="1631" t="s">
        <v>1651</v>
      </c>
    </row>
    <row r="79" spans="1:10" ht="38.25">
      <c r="A79" s="1627">
        <v>287195</v>
      </c>
      <c r="B79" s="1628">
        <v>705.28399999999999</v>
      </c>
      <c r="C79" s="1617" t="s">
        <v>1948</v>
      </c>
      <c r="D79" s="1630"/>
      <c r="E79" s="1472">
        <v>130477</v>
      </c>
      <c r="F79" s="1473">
        <f t="shared" ref="F79:F80" si="3">E79</f>
        <v>130477</v>
      </c>
      <c r="G79" s="1473">
        <v>0</v>
      </c>
      <c r="H79" s="1473">
        <v>0</v>
      </c>
      <c r="I79" s="1473">
        <v>0</v>
      </c>
      <c r="J79" s="1474" t="s">
        <v>1949</v>
      </c>
    </row>
    <row r="80" spans="1:10" ht="25.5">
      <c r="A80" s="1627">
        <v>287198</v>
      </c>
      <c r="B80" s="1628">
        <v>320.279</v>
      </c>
      <c r="C80" s="1633" t="s">
        <v>1950</v>
      </c>
      <c r="D80" s="1630"/>
      <c r="E80" s="1472">
        <v>10191000</v>
      </c>
      <c r="F80" s="1473">
        <f t="shared" si="3"/>
        <v>10191000</v>
      </c>
      <c r="G80" s="1473">
        <v>0</v>
      </c>
      <c r="H80" s="1473">
        <v>0</v>
      </c>
      <c r="I80" s="1473">
        <v>0</v>
      </c>
      <c r="J80" s="1474" t="s">
        <v>1951</v>
      </c>
    </row>
    <row r="81" spans="1:10" ht="12.75">
      <c r="A81" s="1627">
        <v>287200</v>
      </c>
      <c r="B81" s="1628">
        <v>705.26700000000005</v>
      </c>
      <c r="C81" s="1633" t="s">
        <v>1952</v>
      </c>
      <c r="D81" s="1630"/>
      <c r="E81" s="1472">
        <v>2054356</v>
      </c>
      <c r="F81" s="1473">
        <f>E81</f>
        <v>2054356</v>
      </c>
      <c r="G81" s="1473">
        <v>0</v>
      </c>
      <c r="H81" s="1473">
        <v>0</v>
      </c>
      <c r="I81" s="1473">
        <v>0</v>
      </c>
      <c r="J81" s="1631" t="s">
        <v>1953</v>
      </c>
    </row>
    <row r="82" spans="1:10" ht="38.25">
      <c r="A82" s="1627">
        <v>287209</v>
      </c>
      <c r="B82" s="1628">
        <v>705.26599999999996</v>
      </c>
      <c r="C82" s="1617" t="s">
        <v>383</v>
      </c>
      <c r="D82" s="1630"/>
      <c r="E82" s="1472">
        <v>86430</v>
      </c>
      <c r="F82" s="1472">
        <f t="shared" ref="F82:F112" si="4">E82</f>
        <v>86430</v>
      </c>
      <c r="G82" s="1472">
        <v>0</v>
      </c>
      <c r="H82" s="1472">
        <v>0</v>
      </c>
      <c r="I82" s="1472">
        <v>0</v>
      </c>
      <c r="J82" s="1631" t="s">
        <v>384</v>
      </c>
    </row>
    <row r="83" spans="1:10" ht="39.75" customHeight="1">
      <c r="A83" s="1627">
        <v>287212</v>
      </c>
      <c r="B83" s="1628">
        <v>705.245</v>
      </c>
      <c r="C83" s="1617" t="s">
        <v>385</v>
      </c>
      <c r="D83" s="1630"/>
      <c r="E83" s="1472">
        <v>879342</v>
      </c>
      <c r="F83" s="1472">
        <f t="shared" si="4"/>
        <v>879342</v>
      </c>
      <c r="G83" s="1472">
        <v>0</v>
      </c>
      <c r="H83" s="1472">
        <v>0</v>
      </c>
      <c r="I83" s="1472">
        <v>0</v>
      </c>
      <c r="J83" s="1631" t="s">
        <v>386</v>
      </c>
    </row>
    <row r="84" spans="1:10" ht="65.25" customHeight="1">
      <c r="A84" s="1627">
        <v>287225</v>
      </c>
      <c r="B84" s="1628">
        <v>605.10299999999995</v>
      </c>
      <c r="C84" s="1629" t="s">
        <v>1652</v>
      </c>
      <c r="D84" s="1630"/>
      <c r="E84" s="1472">
        <v>48050</v>
      </c>
      <c r="F84" s="1472">
        <f t="shared" si="4"/>
        <v>48050</v>
      </c>
      <c r="G84" s="1473">
        <v>0</v>
      </c>
      <c r="H84" s="1473">
        <v>0</v>
      </c>
      <c r="I84" s="1473">
        <v>0</v>
      </c>
      <c r="J84" s="1474" t="s">
        <v>1954</v>
      </c>
    </row>
    <row r="85" spans="1:10" ht="38.25">
      <c r="A85" s="1627">
        <v>287237</v>
      </c>
      <c r="B85" s="1628">
        <v>705.755</v>
      </c>
      <c r="C85" s="1629" t="s">
        <v>2112</v>
      </c>
      <c r="D85" s="1630"/>
      <c r="E85" s="1472">
        <v>17850</v>
      </c>
      <c r="F85" s="1472">
        <f t="shared" si="4"/>
        <v>17850</v>
      </c>
      <c r="G85" s="1473">
        <v>0</v>
      </c>
      <c r="H85" s="1473">
        <v>0</v>
      </c>
      <c r="I85" s="1473">
        <v>0</v>
      </c>
      <c r="J85" s="1474" t="s">
        <v>2113</v>
      </c>
    </row>
    <row r="86" spans="1:10" ht="25.5">
      <c r="A86" s="1627">
        <v>287238</v>
      </c>
      <c r="B86" s="1628">
        <v>705.42</v>
      </c>
      <c r="C86" s="1629" t="s">
        <v>1653</v>
      </c>
      <c r="D86" s="1630"/>
      <c r="E86" s="1472">
        <v>2461457</v>
      </c>
      <c r="F86" s="1472">
        <f t="shared" si="4"/>
        <v>2461457</v>
      </c>
      <c r="G86" s="1473">
        <v>0</v>
      </c>
      <c r="H86" s="1473">
        <v>0</v>
      </c>
      <c r="I86" s="1473">
        <v>0</v>
      </c>
      <c r="J86" s="1474" t="s">
        <v>1956</v>
      </c>
    </row>
    <row r="87" spans="1:10" ht="27.95" customHeight="1">
      <c r="A87" s="1627">
        <v>287252</v>
      </c>
      <c r="B87" s="1628">
        <v>705.26300000000003</v>
      </c>
      <c r="C87" s="1629" t="s">
        <v>1957</v>
      </c>
      <c r="D87" s="1630"/>
      <c r="E87" s="1472">
        <v>47181</v>
      </c>
      <c r="F87" s="1472">
        <f t="shared" si="4"/>
        <v>47181</v>
      </c>
      <c r="G87" s="1473">
        <v>0</v>
      </c>
      <c r="H87" s="1473">
        <v>0</v>
      </c>
      <c r="I87" s="1473">
        <v>0</v>
      </c>
      <c r="J87" s="1474" t="s">
        <v>1958</v>
      </c>
    </row>
    <row r="88" spans="1:10" ht="14.25" customHeight="1">
      <c r="A88" s="1627">
        <v>287262</v>
      </c>
      <c r="B88" s="1628">
        <v>100.1</v>
      </c>
      <c r="C88" s="1629" t="s">
        <v>393</v>
      </c>
      <c r="D88" s="1630"/>
      <c r="E88" s="1472">
        <v>40068</v>
      </c>
      <c r="F88" s="1472">
        <f t="shared" si="4"/>
        <v>40068</v>
      </c>
      <c r="G88" s="1473">
        <v>0</v>
      </c>
      <c r="H88" s="1473">
        <v>0</v>
      </c>
      <c r="I88" s="1473">
        <v>0</v>
      </c>
      <c r="J88" s="1474" t="s">
        <v>394</v>
      </c>
    </row>
    <row r="89" spans="1:10" ht="25.5">
      <c r="A89" s="1627">
        <v>287271</v>
      </c>
      <c r="B89" s="1628">
        <v>705.33600000000001</v>
      </c>
      <c r="C89" s="1629" t="s">
        <v>1654</v>
      </c>
      <c r="D89" s="1630"/>
      <c r="E89" s="1472">
        <v>521972</v>
      </c>
      <c r="F89" s="1472">
        <f t="shared" si="4"/>
        <v>521972</v>
      </c>
      <c r="G89" s="1473">
        <v>0</v>
      </c>
      <c r="H89" s="1473">
        <v>0</v>
      </c>
      <c r="I89" s="1473">
        <v>0</v>
      </c>
      <c r="J89" s="1474" t="s">
        <v>1959</v>
      </c>
    </row>
    <row r="90" spans="1:10" ht="25.5">
      <c r="A90" s="1627">
        <v>287272</v>
      </c>
      <c r="B90" s="1628">
        <v>705.33699999999999</v>
      </c>
      <c r="C90" s="1629" t="s">
        <v>1655</v>
      </c>
      <c r="D90" s="1630"/>
      <c r="E90" s="1472">
        <v>42972</v>
      </c>
      <c r="F90" s="1472">
        <f t="shared" si="4"/>
        <v>42972</v>
      </c>
      <c r="G90" s="1473">
        <v>0</v>
      </c>
      <c r="H90" s="1473">
        <v>0</v>
      </c>
      <c r="I90" s="1473">
        <v>0</v>
      </c>
      <c r="J90" s="1474" t="s">
        <v>1656</v>
      </c>
    </row>
    <row r="91" spans="1:10" ht="25.5">
      <c r="A91" s="1627">
        <v>287274</v>
      </c>
      <c r="B91" s="1628">
        <v>705.26099999999997</v>
      </c>
      <c r="C91" s="1629" t="s">
        <v>1657</v>
      </c>
      <c r="D91" s="1630"/>
      <c r="E91" s="1472">
        <v>72370</v>
      </c>
      <c r="F91" s="1472">
        <f t="shared" si="4"/>
        <v>72370</v>
      </c>
      <c r="G91" s="1473">
        <v>0</v>
      </c>
      <c r="H91" s="1473">
        <v>0</v>
      </c>
      <c r="I91" s="1473">
        <v>0</v>
      </c>
      <c r="J91" s="1474" t="s">
        <v>1658</v>
      </c>
    </row>
    <row r="92" spans="1:10" ht="38.25">
      <c r="A92" s="1627">
        <v>287284</v>
      </c>
      <c r="B92" s="1628">
        <v>610.14700000000005</v>
      </c>
      <c r="C92" s="1629" t="s">
        <v>395</v>
      </c>
      <c r="D92" s="1630"/>
      <c r="E92" s="1472">
        <v>6308642</v>
      </c>
      <c r="F92" s="1472">
        <f t="shared" si="4"/>
        <v>6308642</v>
      </c>
      <c r="G92" s="1473">
        <v>0</v>
      </c>
      <c r="H92" s="1473">
        <v>0</v>
      </c>
      <c r="I92" s="1473">
        <v>0</v>
      </c>
      <c r="J92" s="1474" t="s">
        <v>1955</v>
      </c>
    </row>
    <row r="93" spans="1:10" ht="14.25" customHeight="1">
      <c r="A93" s="1627">
        <v>287299</v>
      </c>
      <c r="B93" s="1628">
        <v>705.26499999999999</v>
      </c>
      <c r="C93" s="1629" t="s">
        <v>1660</v>
      </c>
      <c r="D93" s="1630"/>
      <c r="E93" s="1472">
        <v>1461498</v>
      </c>
      <c r="F93" s="1472">
        <f t="shared" si="4"/>
        <v>1461498</v>
      </c>
      <c r="G93" s="1473">
        <v>0</v>
      </c>
      <c r="H93" s="1473">
        <v>0</v>
      </c>
      <c r="I93" s="1473">
        <v>0</v>
      </c>
      <c r="J93" s="1474" t="s">
        <v>396</v>
      </c>
    </row>
    <row r="94" spans="1:10" ht="25.5">
      <c r="A94" s="1627">
        <v>287304</v>
      </c>
      <c r="B94" s="1628">
        <v>610.14599999999996</v>
      </c>
      <c r="C94" s="1629" t="s">
        <v>397</v>
      </c>
      <c r="D94" s="1630"/>
      <c r="E94" s="1472">
        <v>-118187</v>
      </c>
      <c r="F94" s="1472">
        <f t="shared" si="4"/>
        <v>-118187</v>
      </c>
      <c r="G94" s="1473">
        <v>0</v>
      </c>
      <c r="H94" s="1473">
        <v>0</v>
      </c>
      <c r="I94" s="1473">
        <v>0</v>
      </c>
      <c r="J94" s="1474" t="s">
        <v>398</v>
      </c>
    </row>
    <row r="95" spans="1:10" ht="25.5">
      <c r="A95" s="1627">
        <v>287312</v>
      </c>
      <c r="B95" s="1628">
        <v>105.402</v>
      </c>
      <c r="C95" s="1629" t="s">
        <v>399</v>
      </c>
      <c r="D95" s="1630"/>
      <c r="E95" s="1472">
        <v>16851366</v>
      </c>
      <c r="F95" s="1472">
        <f t="shared" si="4"/>
        <v>16851366</v>
      </c>
      <c r="G95" s="1473">
        <v>0</v>
      </c>
      <c r="H95" s="1473">
        <v>0</v>
      </c>
      <c r="I95" s="1473">
        <v>0</v>
      </c>
      <c r="J95" s="1474" t="s">
        <v>400</v>
      </c>
    </row>
    <row r="96" spans="1:10" ht="14.25" customHeight="1">
      <c r="A96" s="1627">
        <v>287389</v>
      </c>
      <c r="B96" s="1628">
        <v>610.14499999999998</v>
      </c>
      <c r="C96" s="1629" t="s">
        <v>1661</v>
      </c>
      <c r="D96" s="1630"/>
      <c r="E96" s="1472">
        <v>197621</v>
      </c>
      <c r="F96" s="1472">
        <f t="shared" si="4"/>
        <v>197621</v>
      </c>
      <c r="G96" s="1473">
        <v>0</v>
      </c>
      <c r="H96" s="1473">
        <v>0</v>
      </c>
      <c r="I96" s="1473">
        <v>0</v>
      </c>
      <c r="J96" s="1474" t="s">
        <v>1659</v>
      </c>
    </row>
    <row r="97" spans="1:10" ht="38.25">
      <c r="A97" s="1627">
        <v>287441</v>
      </c>
      <c r="B97" s="1628">
        <v>605.1</v>
      </c>
      <c r="C97" s="1629" t="s">
        <v>1662</v>
      </c>
      <c r="D97" s="1630"/>
      <c r="E97" s="1472">
        <v>1123647</v>
      </c>
      <c r="F97" s="1472">
        <f t="shared" si="4"/>
        <v>1123647</v>
      </c>
      <c r="G97" s="1473">
        <v>0</v>
      </c>
      <c r="H97" s="1473">
        <v>0</v>
      </c>
      <c r="I97" s="1473">
        <v>0</v>
      </c>
      <c r="J97" s="1631" t="s">
        <v>401</v>
      </c>
    </row>
    <row r="98" spans="1:10" ht="25.5">
      <c r="A98" s="1627">
        <v>287445</v>
      </c>
      <c r="B98" s="1628">
        <v>610.14200000000005</v>
      </c>
      <c r="C98" s="1629" t="s">
        <v>402</v>
      </c>
      <c r="D98" s="1630"/>
      <c r="E98" s="1472">
        <v>445606</v>
      </c>
      <c r="F98" s="1472">
        <f t="shared" si="4"/>
        <v>445606</v>
      </c>
      <c r="G98" s="1473">
        <v>0</v>
      </c>
      <c r="H98" s="1473">
        <v>0</v>
      </c>
      <c r="I98" s="1473">
        <v>0</v>
      </c>
      <c r="J98" s="1474" t="s">
        <v>2054</v>
      </c>
    </row>
    <row r="99" spans="1:10" ht="25.5">
      <c r="A99" s="1627">
        <v>287453</v>
      </c>
      <c r="B99" s="1628">
        <v>610.14300000000003</v>
      </c>
      <c r="C99" s="1629" t="s">
        <v>403</v>
      </c>
      <c r="D99" s="1630"/>
      <c r="E99" s="1472">
        <v>-583772</v>
      </c>
      <c r="F99" s="1472">
        <f t="shared" si="4"/>
        <v>-583772</v>
      </c>
      <c r="G99" s="1473">
        <v>0</v>
      </c>
      <c r="H99" s="1473">
        <v>0</v>
      </c>
      <c r="I99" s="1473">
        <v>0</v>
      </c>
      <c r="J99" s="1474" t="s">
        <v>2055</v>
      </c>
    </row>
    <row r="100" spans="1:10" ht="38.25">
      <c r="A100" s="1627">
        <v>287473</v>
      </c>
      <c r="B100" s="1628">
        <v>705.27</v>
      </c>
      <c r="C100" s="1629" t="s">
        <v>404</v>
      </c>
      <c r="D100" s="1630"/>
      <c r="E100" s="1472">
        <v>425832</v>
      </c>
      <c r="F100" s="1472">
        <f t="shared" si="4"/>
        <v>425832</v>
      </c>
      <c r="G100" s="1473">
        <v>0</v>
      </c>
      <c r="H100" s="1473">
        <v>0</v>
      </c>
      <c r="I100" s="1473">
        <v>0</v>
      </c>
      <c r="J100" s="1474" t="s">
        <v>405</v>
      </c>
    </row>
    <row r="101" spans="1:10" ht="38.25">
      <c r="A101" s="1627">
        <v>287474</v>
      </c>
      <c r="B101" s="1628">
        <v>705.27099999999996</v>
      </c>
      <c r="C101" s="1629" t="s">
        <v>406</v>
      </c>
      <c r="D101" s="1630"/>
      <c r="E101" s="1472">
        <v>132483</v>
      </c>
      <c r="F101" s="1472">
        <f t="shared" si="4"/>
        <v>132483</v>
      </c>
      <c r="G101" s="1473">
        <v>0</v>
      </c>
      <c r="H101" s="1473">
        <v>0</v>
      </c>
      <c r="I101" s="1473">
        <v>0</v>
      </c>
      <c r="J101" s="1474" t="s">
        <v>405</v>
      </c>
    </row>
    <row r="102" spans="1:10" ht="38.25">
      <c r="A102" s="1627">
        <v>287475</v>
      </c>
      <c r="B102" s="1628">
        <v>705.27200000000005</v>
      </c>
      <c r="C102" s="1629" t="s">
        <v>407</v>
      </c>
      <c r="D102" s="1630"/>
      <c r="E102" s="1472">
        <v>46276</v>
      </c>
      <c r="F102" s="1472">
        <f t="shared" si="4"/>
        <v>46276</v>
      </c>
      <c r="G102" s="1473">
        <v>0</v>
      </c>
      <c r="H102" s="1473">
        <v>0</v>
      </c>
      <c r="I102" s="1473">
        <v>0</v>
      </c>
      <c r="J102" s="1474" t="s">
        <v>405</v>
      </c>
    </row>
    <row r="103" spans="1:10" ht="38.25">
      <c r="A103" s="1627">
        <v>287476</v>
      </c>
      <c r="B103" s="1628">
        <v>705.27300000000002</v>
      </c>
      <c r="C103" s="1629" t="s">
        <v>408</v>
      </c>
      <c r="D103" s="1630"/>
      <c r="E103" s="1472">
        <v>1575468</v>
      </c>
      <c r="F103" s="1472">
        <f t="shared" si="4"/>
        <v>1575468</v>
      </c>
      <c r="G103" s="1473">
        <v>0</v>
      </c>
      <c r="H103" s="1473">
        <v>0</v>
      </c>
      <c r="I103" s="1473">
        <v>0</v>
      </c>
      <c r="J103" s="1474" t="s">
        <v>405</v>
      </c>
    </row>
    <row r="104" spans="1:10" ht="38.25">
      <c r="A104" s="1627">
        <v>287477</v>
      </c>
      <c r="B104" s="1628">
        <v>705.274</v>
      </c>
      <c r="C104" s="1629" t="s">
        <v>409</v>
      </c>
      <c r="D104" s="1630"/>
      <c r="E104" s="1472">
        <v>51818</v>
      </c>
      <c r="F104" s="1472">
        <f t="shared" si="4"/>
        <v>51818</v>
      </c>
      <c r="G104" s="1473">
        <v>0</v>
      </c>
      <c r="H104" s="1473">
        <v>0</v>
      </c>
      <c r="I104" s="1473">
        <v>0</v>
      </c>
      <c r="J104" s="1474" t="s">
        <v>405</v>
      </c>
    </row>
    <row r="105" spans="1:10" ht="38.25">
      <c r="A105" s="1627">
        <v>287478</v>
      </c>
      <c r="B105" s="1628">
        <v>705.27499999999998</v>
      </c>
      <c r="C105" s="1629" t="s">
        <v>410</v>
      </c>
      <c r="D105" s="1630"/>
      <c r="E105" s="1472">
        <v>150585</v>
      </c>
      <c r="F105" s="1472">
        <f t="shared" si="4"/>
        <v>150585</v>
      </c>
      <c r="G105" s="1473">
        <v>0</v>
      </c>
      <c r="H105" s="1473">
        <v>0</v>
      </c>
      <c r="I105" s="1473">
        <v>0</v>
      </c>
      <c r="J105" s="1474" t="s">
        <v>411</v>
      </c>
    </row>
    <row r="106" spans="1:10" ht="12.75">
      <c r="A106" s="1470" t="s">
        <v>412</v>
      </c>
      <c r="B106" s="1628"/>
      <c r="C106" s="1617"/>
      <c r="D106" s="1630"/>
      <c r="E106" s="1472"/>
      <c r="F106" s="1472"/>
      <c r="G106" s="1473"/>
      <c r="H106" s="1473"/>
      <c r="I106" s="1473"/>
      <c r="J106" s="1631"/>
    </row>
    <row r="107" spans="1:10" ht="12.75">
      <c r="A107" s="1627">
        <v>287280</v>
      </c>
      <c r="B107" s="1634" t="s">
        <v>1960</v>
      </c>
      <c r="C107" s="1617"/>
      <c r="D107" s="1630"/>
      <c r="E107" s="1472">
        <v>127625</v>
      </c>
      <c r="F107" s="1472">
        <f t="shared" si="4"/>
        <v>127625</v>
      </c>
      <c r="G107" s="1473">
        <v>0</v>
      </c>
      <c r="H107" s="1473">
        <v>0</v>
      </c>
      <c r="I107" s="1473">
        <v>0</v>
      </c>
      <c r="J107" s="1631" t="s">
        <v>413</v>
      </c>
    </row>
    <row r="108" spans="1:10" ht="12.75">
      <c r="A108" s="1627">
        <v>287437</v>
      </c>
      <c r="B108" s="1635" t="s">
        <v>1663</v>
      </c>
      <c r="C108" s="1617"/>
      <c r="D108" s="1630"/>
      <c r="E108" s="1472">
        <v>81489520</v>
      </c>
      <c r="F108" s="1472">
        <f t="shared" si="4"/>
        <v>81489520</v>
      </c>
      <c r="G108" s="1473">
        <v>0</v>
      </c>
      <c r="H108" s="1473">
        <v>0</v>
      </c>
      <c r="I108" s="1473">
        <v>0</v>
      </c>
      <c r="J108" s="1631" t="s">
        <v>414</v>
      </c>
    </row>
    <row r="109" spans="1:10" ht="25.5">
      <c r="A109" s="1627">
        <v>287449</v>
      </c>
      <c r="B109" s="1634" t="s">
        <v>415</v>
      </c>
      <c r="C109" s="1617"/>
      <c r="D109" s="1630"/>
      <c r="E109" s="1472">
        <v>-17139600</v>
      </c>
      <c r="F109" s="1472">
        <f t="shared" si="4"/>
        <v>-17139600</v>
      </c>
      <c r="G109" s="1473">
        <v>0</v>
      </c>
      <c r="H109" s="1473">
        <v>0</v>
      </c>
      <c r="I109" s="1473">
        <v>0</v>
      </c>
      <c r="J109" s="1631" t="s">
        <v>416</v>
      </c>
    </row>
    <row r="110" spans="1:10" ht="12.75">
      <c r="A110" s="1627">
        <v>287494</v>
      </c>
      <c r="B110" s="1634" t="s">
        <v>417</v>
      </c>
      <c r="C110" s="1617"/>
      <c r="D110" s="1630"/>
      <c r="E110" s="1472">
        <v>19619515</v>
      </c>
      <c r="F110" s="1472">
        <f t="shared" si="4"/>
        <v>19619515</v>
      </c>
      <c r="G110" s="1473">
        <v>0</v>
      </c>
      <c r="H110" s="1473">
        <v>0</v>
      </c>
      <c r="I110" s="1473">
        <v>0</v>
      </c>
      <c r="J110" s="1631" t="s">
        <v>418</v>
      </c>
    </row>
    <row r="111" spans="1:10" ht="12.75">
      <c r="A111" s="1627">
        <v>287269</v>
      </c>
      <c r="B111" s="1634" t="s">
        <v>419</v>
      </c>
      <c r="C111" s="1617"/>
      <c r="D111" s="1630"/>
      <c r="E111" s="1472">
        <v>116932</v>
      </c>
      <c r="F111" s="1472">
        <f t="shared" si="4"/>
        <v>116932</v>
      </c>
      <c r="G111" s="1473">
        <v>0</v>
      </c>
      <c r="H111" s="1473">
        <v>0</v>
      </c>
      <c r="I111" s="1473">
        <v>0</v>
      </c>
      <c r="J111" s="1631" t="s">
        <v>420</v>
      </c>
    </row>
    <row r="112" spans="1:10" ht="12.75">
      <c r="A112" s="1627">
        <v>287281</v>
      </c>
      <c r="B112" s="1634" t="s">
        <v>421</v>
      </c>
      <c r="C112" s="1617"/>
      <c r="D112" s="1630"/>
      <c r="E112" s="1472">
        <v>275386</v>
      </c>
      <c r="F112" s="1472">
        <f t="shared" si="4"/>
        <v>275386</v>
      </c>
      <c r="G112" s="1473">
        <v>0</v>
      </c>
      <c r="H112" s="1473">
        <v>0</v>
      </c>
      <c r="I112" s="1473">
        <v>0</v>
      </c>
      <c r="J112" s="1631" t="s">
        <v>422</v>
      </c>
    </row>
    <row r="113" spans="1:10" ht="12.75">
      <c r="A113" s="1470" t="s">
        <v>423</v>
      </c>
      <c r="B113" s="1628"/>
      <c r="C113" s="1617"/>
      <c r="D113" s="1630"/>
      <c r="E113" s="1472"/>
      <c r="F113" s="1473"/>
      <c r="G113" s="1473"/>
      <c r="H113" s="1473"/>
      <c r="I113" s="1473"/>
      <c r="J113" s="1631"/>
    </row>
    <row r="114" spans="1:10" ht="25.5">
      <c r="A114" s="1627" t="s">
        <v>1961</v>
      </c>
      <c r="B114" s="1628" t="s">
        <v>2114</v>
      </c>
      <c r="C114" s="1629" t="s">
        <v>1664</v>
      </c>
      <c r="D114" s="1630"/>
      <c r="E114" s="1472">
        <f>429299309+-91277753</f>
        <v>338021556</v>
      </c>
      <c r="F114" s="1472">
        <f>E114</f>
        <v>338021556</v>
      </c>
      <c r="G114" s="1473">
        <v>0</v>
      </c>
      <c r="H114" s="1473">
        <v>0</v>
      </c>
      <c r="I114" s="1473">
        <v>0</v>
      </c>
      <c r="J114" s="1631" t="s">
        <v>1962</v>
      </c>
    </row>
    <row r="115" spans="1:10" ht="12.75">
      <c r="A115" s="1470" t="s">
        <v>424</v>
      </c>
      <c r="B115" s="1628"/>
      <c r="C115" s="1617"/>
      <c r="D115" s="1630"/>
      <c r="E115" s="1472"/>
      <c r="F115" s="1473"/>
      <c r="G115" s="1473"/>
      <c r="H115" s="1473"/>
      <c r="I115" s="1473"/>
      <c r="J115" s="1631"/>
    </row>
    <row r="116" spans="1:10" ht="12.75">
      <c r="A116" s="1627">
        <v>287339</v>
      </c>
      <c r="B116" s="1634">
        <v>105.4</v>
      </c>
      <c r="C116" s="1617" t="s">
        <v>425</v>
      </c>
      <c r="D116" s="1630"/>
      <c r="E116" s="1472">
        <v>85238575</v>
      </c>
      <c r="F116" s="1472">
        <f>E116</f>
        <v>85238575</v>
      </c>
      <c r="G116" s="1473">
        <v>0</v>
      </c>
      <c r="H116" s="1473">
        <v>0</v>
      </c>
      <c r="I116" s="1473">
        <v>0</v>
      </c>
      <c r="J116" s="1631" t="s">
        <v>426</v>
      </c>
    </row>
    <row r="117" spans="1:10" ht="12.75">
      <c r="A117" s="1470" t="s">
        <v>427</v>
      </c>
      <c r="B117" s="1471"/>
      <c r="C117" s="1617"/>
      <c r="D117" s="1630"/>
      <c r="E117" s="1472"/>
      <c r="F117" s="1473"/>
      <c r="G117" s="1473"/>
      <c r="H117" s="1473"/>
      <c r="I117" s="1473"/>
      <c r="J117" s="1631"/>
    </row>
    <row r="118" spans="1:10" ht="12.75">
      <c r="A118" s="1627">
        <v>287953</v>
      </c>
      <c r="B118" s="1628">
        <v>220.10499999999999</v>
      </c>
      <c r="C118" s="1617" t="s">
        <v>2115</v>
      </c>
      <c r="D118" s="1630"/>
      <c r="E118" s="1472">
        <v>7484416</v>
      </c>
      <c r="F118" s="1472">
        <f>E118</f>
        <v>7484416</v>
      </c>
      <c r="G118" s="1473">
        <v>0</v>
      </c>
      <c r="H118" s="1473">
        <v>0</v>
      </c>
      <c r="I118" s="1473">
        <v>0</v>
      </c>
      <c r="J118" s="1631" t="s">
        <v>2116</v>
      </c>
    </row>
    <row r="119" spans="1:10" ht="15" customHeight="1">
      <c r="A119" s="1627">
        <v>287100</v>
      </c>
      <c r="B119" s="1628" t="s">
        <v>437</v>
      </c>
      <c r="C119" s="1629" t="s">
        <v>656</v>
      </c>
      <c r="D119" s="1630"/>
      <c r="E119" s="1472">
        <v>-11702872</v>
      </c>
      <c r="F119" s="1472">
        <f>E119</f>
        <v>-11702872</v>
      </c>
      <c r="G119" s="1473">
        <v>0</v>
      </c>
      <c r="H119" s="1473">
        <v>0</v>
      </c>
      <c r="I119" s="1473">
        <v>0</v>
      </c>
      <c r="J119" s="1631" t="s">
        <v>1963</v>
      </c>
    </row>
    <row r="120" spans="1:10" ht="25.5">
      <c r="A120" s="1627">
        <v>287181</v>
      </c>
      <c r="B120" s="1811">
        <v>205.20099999999999</v>
      </c>
      <c r="C120" s="1629" t="s">
        <v>1665</v>
      </c>
      <c r="D120" s="1630"/>
      <c r="E120" s="1472">
        <v>1313391</v>
      </c>
      <c r="F120" s="1472">
        <f>E120</f>
        <v>1313391</v>
      </c>
      <c r="G120" s="1473">
        <v>0</v>
      </c>
      <c r="H120" s="1473">
        <v>0</v>
      </c>
      <c r="I120" s="1473">
        <v>0</v>
      </c>
      <c r="J120" s="1631" t="s">
        <v>1666</v>
      </c>
    </row>
    <row r="121" spans="1:10" ht="25.5">
      <c r="A121" s="1627">
        <v>287183</v>
      </c>
      <c r="B121" s="1811">
        <v>425.16</v>
      </c>
      <c r="C121" s="1629" t="s">
        <v>1667</v>
      </c>
      <c r="D121" s="1630"/>
      <c r="E121" s="1472">
        <v>2905258</v>
      </c>
      <c r="F121" s="1473">
        <f t="shared" ref="F121" si="5">E121</f>
        <v>2905258</v>
      </c>
      <c r="G121" s="1473">
        <v>0</v>
      </c>
      <c r="H121" s="1473">
        <v>0</v>
      </c>
      <c r="I121" s="1473">
        <v>0</v>
      </c>
      <c r="J121" s="1631" t="s">
        <v>1668</v>
      </c>
    </row>
    <row r="122" spans="1:10" ht="38.25">
      <c r="A122" s="1627">
        <v>287199</v>
      </c>
      <c r="B122" s="1628">
        <v>220.101</v>
      </c>
      <c r="C122" s="1633" t="s">
        <v>657</v>
      </c>
      <c r="D122" s="1630"/>
      <c r="E122" s="1472">
        <v>-40763</v>
      </c>
      <c r="F122" s="1473">
        <f>E122</f>
        <v>-40763</v>
      </c>
      <c r="G122" s="1473">
        <v>0</v>
      </c>
      <c r="H122" s="1473">
        <v>0</v>
      </c>
      <c r="I122" s="1473">
        <v>0</v>
      </c>
      <c r="J122" s="1631" t="s">
        <v>1669</v>
      </c>
    </row>
    <row r="123" spans="1:10" ht="12.75">
      <c r="A123" s="1627">
        <v>287211</v>
      </c>
      <c r="B123" s="1628">
        <v>425.226</v>
      </c>
      <c r="C123" s="1629" t="s">
        <v>428</v>
      </c>
      <c r="D123" s="1630"/>
      <c r="E123" s="1472">
        <v>348246</v>
      </c>
      <c r="F123" s="1472">
        <f t="shared" ref="F123:F139" si="6">E123</f>
        <v>348246</v>
      </c>
      <c r="G123" s="1473">
        <v>0</v>
      </c>
      <c r="H123" s="1473">
        <v>0</v>
      </c>
      <c r="I123" s="1473">
        <v>0</v>
      </c>
      <c r="J123" s="1631" t="s">
        <v>429</v>
      </c>
    </row>
    <row r="124" spans="1:10" ht="12.75">
      <c r="A124" s="1627">
        <v>287214</v>
      </c>
      <c r="B124" s="1628">
        <v>910.245</v>
      </c>
      <c r="C124" s="1629" t="s">
        <v>1670</v>
      </c>
      <c r="D124" s="1630"/>
      <c r="E124" s="1472">
        <v>11388</v>
      </c>
      <c r="F124" s="1472">
        <f t="shared" si="6"/>
        <v>11388</v>
      </c>
      <c r="G124" s="1473">
        <v>0</v>
      </c>
      <c r="H124" s="1473">
        <v>0</v>
      </c>
      <c r="I124" s="1473">
        <v>0</v>
      </c>
      <c r="J124" s="1631" t="s">
        <v>430</v>
      </c>
    </row>
    <row r="125" spans="1:10" ht="12.75">
      <c r="A125" s="1627">
        <v>287216</v>
      </c>
      <c r="B125" s="1628">
        <v>605.71500000000003</v>
      </c>
      <c r="C125" s="1629" t="s">
        <v>1671</v>
      </c>
      <c r="D125" s="1630"/>
      <c r="E125" s="1472">
        <v>2457889</v>
      </c>
      <c r="F125" s="1472">
        <f t="shared" si="6"/>
        <v>2457889</v>
      </c>
      <c r="G125" s="1473">
        <v>0</v>
      </c>
      <c r="H125" s="1473">
        <v>0</v>
      </c>
      <c r="I125" s="1473">
        <v>0</v>
      </c>
      <c r="J125" s="1631" t="s">
        <v>431</v>
      </c>
    </row>
    <row r="126" spans="1:10" ht="25.5">
      <c r="A126" s="1627">
        <v>287219</v>
      </c>
      <c r="B126" s="1628">
        <v>715.81</v>
      </c>
      <c r="C126" s="1629" t="s">
        <v>1672</v>
      </c>
      <c r="D126" s="1630"/>
      <c r="E126" s="1472">
        <v>57751</v>
      </c>
      <c r="F126" s="1472">
        <f t="shared" si="6"/>
        <v>57751</v>
      </c>
      <c r="G126" s="1473">
        <v>0</v>
      </c>
      <c r="H126" s="1473">
        <v>0</v>
      </c>
      <c r="I126" s="1473">
        <v>0</v>
      </c>
      <c r="J126" s="1631" t="s">
        <v>434</v>
      </c>
    </row>
    <row r="127" spans="1:10" ht="25.5">
      <c r="A127" s="1627">
        <v>287240</v>
      </c>
      <c r="B127" s="1628">
        <v>605.30100000000004</v>
      </c>
      <c r="C127" s="1629" t="s">
        <v>1673</v>
      </c>
      <c r="D127" s="1630"/>
      <c r="E127" s="1472">
        <v>20416204</v>
      </c>
      <c r="F127" s="1472">
        <f t="shared" si="6"/>
        <v>20416204</v>
      </c>
      <c r="G127" s="1473">
        <v>0</v>
      </c>
      <c r="H127" s="1473">
        <v>0</v>
      </c>
      <c r="I127" s="1473">
        <v>0</v>
      </c>
      <c r="J127" s="1631" t="s">
        <v>435</v>
      </c>
    </row>
    <row r="128" spans="1:10" ht="25.5">
      <c r="A128" s="1627">
        <v>287241</v>
      </c>
      <c r="B128" s="1628">
        <v>605.30200000000002</v>
      </c>
      <c r="C128" s="1629" t="s">
        <v>1674</v>
      </c>
      <c r="D128" s="1630"/>
      <c r="E128" s="1472">
        <v>555225</v>
      </c>
      <c r="F128" s="1472">
        <f t="shared" si="6"/>
        <v>555225</v>
      </c>
      <c r="G128" s="1473">
        <v>0</v>
      </c>
      <c r="H128" s="1473">
        <v>0</v>
      </c>
      <c r="I128" s="1473">
        <v>0</v>
      </c>
      <c r="J128" s="1631" t="s">
        <v>436</v>
      </c>
    </row>
    <row r="129" spans="1:10" ht="25.5">
      <c r="A129" s="1627">
        <v>287253</v>
      </c>
      <c r="B129" s="1628">
        <v>705.4</v>
      </c>
      <c r="C129" s="1629" t="s">
        <v>1827</v>
      </c>
      <c r="D129" s="1630"/>
      <c r="E129" s="1472">
        <v>640242</v>
      </c>
      <c r="F129" s="1472">
        <f>E129</f>
        <v>640242</v>
      </c>
      <c r="G129" s="1473"/>
      <c r="H129" s="1473"/>
      <c r="I129" s="1473"/>
      <c r="J129" s="1631" t="s">
        <v>387</v>
      </c>
    </row>
    <row r="130" spans="1:10" ht="25.5">
      <c r="A130" s="1627">
        <v>287254</v>
      </c>
      <c r="B130" s="1628">
        <v>705.45</v>
      </c>
      <c r="C130" s="1629" t="s">
        <v>1830</v>
      </c>
      <c r="D130" s="1630"/>
      <c r="E130" s="1472">
        <v>-638151</v>
      </c>
      <c r="F130" s="1472">
        <f t="shared" ref="F130:F131" si="7">E130</f>
        <v>-638151</v>
      </c>
      <c r="G130" s="1473">
        <v>0</v>
      </c>
      <c r="H130" s="1473">
        <v>0</v>
      </c>
      <c r="I130" s="1473">
        <v>0</v>
      </c>
      <c r="J130" s="1631" t="s">
        <v>1831</v>
      </c>
    </row>
    <row r="131" spans="1:10" ht="25.5">
      <c r="A131" s="1627">
        <v>287256</v>
      </c>
      <c r="B131" s="1628">
        <v>705.452</v>
      </c>
      <c r="C131" s="1629" t="s">
        <v>1964</v>
      </c>
      <c r="D131" s="1630"/>
      <c r="E131" s="1472">
        <v>-95098</v>
      </c>
      <c r="F131" s="1472">
        <f t="shared" si="7"/>
        <v>-95098</v>
      </c>
      <c r="G131" s="1473">
        <v>0</v>
      </c>
      <c r="H131" s="1473">
        <v>0</v>
      </c>
      <c r="I131" s="1473">
        <v>0</v>
      </c>
      <c r="J131" s="1631" t="s">
        <v>1965</v>
      </c>
    </row>
    <row r="132" spans="1:10" ht="25.5">
      <c r="A132" s="1627">
        <v>287257</v>
      </c>
      <c r="B132" s="1628">
        <v>705.45299999999997</v>
      </c>
      <c r="C132" s="1629" t="s">
        <v>1828</v>
      </c>
      <c r="D132" s="1630"/>
      <c r="E132" s="1472">
        <v>219951</v>
      </c>
      <c r="F132" s="1472">
        <f>E132</f>
        <v>219951</v>
      </c>
      <c r="G132" s="1473">
        <v>0</v>
      </c>
      <c r="H132" s="1473">
        <v>0</v>
      </c>
      <c r="I132" s="1473">
        <v>0</v>
      </c>
      <c r="J132" s="1631" t="s">
        <v>389</v>
      </c>
    </row>
    <row r="133" spans="1:10" ht="15" customHeight="1">
      <c r="A133" s="1627">
        <v>287258</v>
      </c>
      <c r="B133" s="1628">
        <v>705.45399999999995</v>
      </c>
      <c r="C133" s="1629" t="s">
        <v>1829</v>
      </c>
      <c r="D133" s="1630"/>
      <c r="E133" s="1472">
        <v>-545089</v>
      </c>
      <c r="F133" s="1472">
        <f>E133</f>
        <v>-545089</v>
      </c>
      <c r="G133" s="1473">
        <v>0</v>
      </c>
      <c r="H133" s="1473">
        <v>0</v>
      </c>
      <c r="I133" s="1473">
        <v>0</v>
      </c>
      <c r="J133" s="1631" t="s">
        <v>390</v>
      </c>
    </row>
    <row r="134" spans="1:10" ht="25.5">
      <c r="A134" s="1627">
        <v>287259</v>
      </c>
      <c r="B134" s="1628">
        <v>705.45500000000004</v>
      </c>
      <c r="C134" s="1617" t="s">
        <v>391</v>
      </c>
      <c r="D134" s="1630"/>
      <c r="E134" s="1472">
        <v>-1661</v>
      </c>
      <c r="F134" s="1472">
        <f>E134</f>
        <v>-1661</v>
      </c>
      <c r="G134" s="1473">
        <v>0</v>
      </c>
      <c r="H134" s="1473">
        <v>0</v>
      </c>
      <c r="I134" s="1473">
        <v>0</v>
      </c>
      <c r="J134" s="1631" t="s">
        <v>392</v>
      </c>
    </row>
    <row r="135" spans="1:10" ht="25.5">
      <c r="A135" s="1627">
        <v>287270</v>
      </c>
      <c r="B135" s="1628" t="s">
        <v>437</v>
      </c>
      <c r="C135" s="1629" t="s">
        <v>438</v>
      </c>
      <c r="D135" s="1630"/>
      <c r="E135" s="1472">
        <v>-12759617</v>
      </c>
      <c r="F135" s="1472">
        <f t="shared" si="6"/>
        <v>-12759617</v>
      </c>
      <c r="G135" s="1473">
        <v>0</v>
      </c>
      <c r="H135" s="1473">
        <v>0</v>
      </c>
      <c r="I135" s="1473">
        <v>0</v>
      </c>
      <c r="J135" s="1631" t="s">
        <v>1966</v>
      </c>
    </row>
    <row r="136" spans="1:10" ht="25.5">
      <c r="A136" s="1627">
        <v>287290</v>
      </c>
      <c r="B136" s="1628">
        <v>425.15</v>
      </c>
      <c r="C136" s="1617" t="s">
        <v>441</v>
      </c>
      <c r="D136" s="1630"/>
      <c r="E136" s="1472">
        <v>197342</v>
      </c>
      <c r="F136" s="1472">
        <f t="shared" si="6"/>
        <v>197342</v>
      </c>
      <c r="G136" s="1473">
        <v>0</v>
      </c>
      <c r="H136" s="1473">
        <v>0</v>
      </c>
      <c r="I136" s="1473">
        <v>0</v>
      </c>
      <c r="J136" s="1631" t="s">
        <v>442</v>
      </c>
    </row>
    <row r="137" spans="1:10" ht="25.5">
      <c r="A137" s="1627">
        <v>287298</v>
      </c>
      <c r="B137" s="1628">
        <v>205.21</v>
      </c>
      <c r="C137" s="1617" t="s">
        <v>443</v>
      </c>
      <c r="D137" s="1630"/>
      <c r="E137" s="1472">
        <v>501567</v>
      </c>
      <c r="F137" s="1472">
        <f t="shared" si="6"/>
        <v>501567</v>
      </c>
      <c r="G137" s="1473">
        <v>0</v>
      </c>
      <c r="H137" s="1473">
        <v>0</v>
      </c>
      <c r="I137" s="1473">
        <v>0</v>
      </c>
      <c r="J137" s="1631" t="s">
        <v>1967</v>
      </c>
    </row>
    <row r="138" spans="1:10" ht="12.75">
      <c r="A138" s="1627">
        <v>287321</v>
      </c>
      <c r="B138" s="1628">
        <v>100.1</v>
      </c>
      <c r="C138" s="1617" t="s">
        <v>444</v>
      </c>
      <c r="D138" s="1630"/>
      <c r="E138" s="1472">
        <v>150256</v>
      </c>
      <c r="F138" s="1472">
        <f t="shared" si="6"/>
        <v>150256</v>
      </c>
      <c r="G138" s="1473">
        <v>0</v>
      </c>
      <c r="H138" s="1473">
        <v>0</v>
      </c>
      <c r="I138" s="1473">
        <v>0</v>
      </c>
      <c r="J138" s="1631" t="s">
        <v>445</v>
      </c>
    </row>
    <row r="139" spans="1:10" ht="25.5">
      <c r="A139" s="1627">
        <v>287337</v>
      </c>
      <c r="B139" s="1628">
        <v>715.10500000000002</v>
      </c>
      <c r="C139" s="1617" t="s">
        <v>446</v>
      </c>
      <c r="D139" s="1630"/>
      <c r="E139" s="1472">
        <v>31597</v>
      </c>
      <c r="F139" s="1472">
        <f t="shared" si="6"/>
        <v>31597</v>
      </c>
      <c r="G139" s="1473">
        <v>0</v>
      </c>
      <c r="H139" s="1473">
        <v>0</v>
      </c>
      <c r="I139" s="1473">
        <v>0</v>
      </c>
      <c r="J139" s="1631" t="s">
        <v>447</v>
      </c>
    </row>
    <row r="140" spans="1:10" ht="38.25">
      <c r="A140" s="1627">
        <v>287338</v>
      </c>
      <c r="B140" s="1628">
        <v>415.11</v>
      </c>
      <c r="C140" s="1629" t="s">
        <v>1832</v>
      </c>
      <c r="D140" s="1630"/>
      <c r="E140" s="1472">
        <v>1070561</v>
      </c>
      <c r="F140" s="1472">
        <v>0</v>
      </c>
      <c r="G140" s="1473">
        <f>E140</f>
        <v>1070561</v>
      </c>
      <c r="H140" s="1473">
        <v>0</v>
      </c>
      <c r="I140" s="1473">
        <v>0</v>
      </c>
      <c r="J140" s="1631" t="s">
        <v>448</v>
      </c>
    </row>
    <row r="141" spans="1:10" ht="25.5">
      <c r="A141" s="1627">
        <v>287340</v>
      </c>
      <c r="B141" s="1628">
        <v>220.1</v>
      </c>
      <c r="C141" s="1629" t="s">
        <v>449</v>
      </c>
      <c r="D141" s="1630"/>
      <c r="E141" s="1472">
        <v>7674455</v>
      </c>
      <c r="F141" s="1472">
        <f t="shared" ref="F141:F151" si="8">E141</f>
        <v>7674455</v>
      </c>
      <c r="G141" s="1473">
        <v>0</v>
      </c>
      <c r="H141" s="1473">
        <v>0</v>
      </c>
      <c r="I141" s="1473">
        <v>0</v>
      </c>
      <c r="J141" s="1474" t="s">
        <v>450</v>
      </c>
    </row>
    <row r="142" spans="1:10" ht="12.75">
      <c r="A142" s="1627">
        <v>287354</v>
      </c>
      <c r="B142" s="1628">
        <v>505.15</v>
      </c>
      <c r="C142" s="1629" t="s">
        <v>1675</v>
      </c>
      <c r="D142" s="1630"/>
      <c r="E142" s="1472">
        <v>294101</v>
      </c>
      <c r="F142" s="1472">
        <f t="shared" si="8"/>
        <v>294101</v>
      </c>
      <c r="G142" s="1473">
        <v>0</v>
      </c>
      <c r="H142" s="1473">
        <v>0</v>
      </c>
      <c r="I142" s="1473">
        <v>0</v>
      </c>
      <c r="J142" s="1474" t="s">
        <v>451</v>
      </c>
    </row>
    <row r="143" spans="1:10" ht="12.75">
      <c r="A143" s="1627">
        <v>287370</v>
      </c>
      <c r="B143" s="1628">
        <v>425.21499999999997</v>
      </c>
      <c r="C143" s="1629" t="s">
        <v>1676</v>
      </c>
      <c r="D143" s="1630"/>
      <c r="E143" s="1472">
        <v>1083352</v>
      </c>
      <c r="F143" s="1472">
        <f t="shared" si="8"/>
        <v>1083352</v>
      </c>
      <c r="G143" s="1473">
        <v>0</v>
      </c>
      <c r="H143" s="1473">
        <v>0</v>
      </c>
      <c r="I143" s="1473">
        <v>0</v>
      </c>
      <c r="J143" s="1631" t="s">
        <v>452</v>
      </c>
    </row>
    <row r="144" spans="1:10" ht="25.5">
      <c r="A144" s="1627">
        <v>287391</v>
      </c>
      <c r="B144" s="1628">
        <v>425.32</v>
      </c>
      <c r="C144" s="1629" t="s">
        <v>1677</v>
      </c>
      <c r="D144" s="1630"/>
      <c r="E144" s="1472">
        <v>4995381</v>
      </c>
      <c r="F144" s="1472">
        <f t="shared" si="8"/>
        <v>4995381</v>
      </c>
      <c r="G144" s="1473">
        <v>0</v>
      </c>
      <c r="H144" s="1473">
        <v>0</v>
      </c>
      <c r="I144" s="1473">
        <v>0</v>
      </c>
      <c r="J144" s="1474" t="s">
        <v>453</v>
      </c>
    </row>
    <row r="145" spans="1:14" ht="25.5">
      <c r="A145" s="1627">
        <v>287392</v>
      </c>
      <c r="B145" s="1628">
        <v>425.12</v>
      </c>
      <c r="C145" s="1617" t="s">
        <v>454</v>
      </c>
      <c r="D145" s="1630"/>
      <c r="E145" s="1472">
        <v>3996178</v>
      </c>
      <c r="F145" s="1472">
        <f t="shared" si="8"/>
        <v>3996178</v>
      </c>
      <c r="G145" s="1473">
        <v>0</v>
      </c>
      <c r="H145" s="1473">
        <v>0</v>
      </c>
      <c r="I145" s="1473">
        <v>0</v>
      </c>
      <c r="J145" s="1631" t="s">
        <v>455</v>
      </c>
    </row>
    <row r="146" spans="1:14" ht="12.75">
      <c r="A146" s="1627">
        <v>287415</v>
      </c>
      <c r="B146" s="1628">
        <v>205.2</v>
      </c>
      <c r="C146" s="1629" t="s">
        <v>456</v>
      </c>
      <c r="D146" s="1630"/>
      <c r="E146" s="1472">
        <v>386866</v>
      </c>
      <c r="F146" s="1472">
        <f t="shared" si="8"/>
        <v>386866</v>
      </c>
      <c r="G146" s="1473">
        <v>0</v>
      </c>
      <c r="H146" s="1473">
        <v>0</v>
      </c>
      <c r="I146" s="1473">
        <v>0</v>
      </c>
      <c r="J146" s="1474" t="s">
        <v>457</v>
      </c>
    </row>
    <row r="147" spans="1:14" ht="12.75">
      <c r="A147" s="1627">
        <v>287417</v>
      </c>
      <c r="B147" s="1628">
        <v>605.71</v>
      </c>
      <c r="C147" s="1617" t="s">
        <v>458</v>
      </c>
      <c r="D147" s="1630"/>
      <c r="E147" s="1472">
        <v>457477</v>
      </c>
      <c r="F147" s="1472">
        <f t="shared" si="8"/>
        <v>457477</v>
      </c>
      <c r="G147" s="1473">
        <v>0</v>
      </c>
      <c r="H147" s="1473">
        <v>0</v>
      </c>
      <c r="I147" s="1473">
        <v>0</v>
      </c>
      <c r="J147" s="1631" t="s">
        <v>459</v>
      </c>
    </row>
    <row r="148" spans="1:14" ht="12.75">
      <c r="A148" s="1627">
        <v>287430</v>
      </c>
      <c r="B148" s="1628">
        <v>505.125</v>
      </c>
      <c r="C148" s="1629" t="s">
        <v>460</v>
      </c>
      <c r="D148" s="1630"/>
      <c r="E148" s="1472">
        <v>3969738</v>
      </c>
      <c r="F148" s="1472">
        <f t="shared" si="8"/>
        <v>3969738</v>
      </c>
      <c r="G148" s="1473">
        <v>0</v>
      </c>
      <c r="H148" s="1473">
        <v>0</v>
      </c>
      <c r="I148" s="1473">
        <v>0</v>
      </c>
      <c r="J148" s="1474" t="s">
        <v>461</v>
      </c>
    </row>
    <row r="149" spans="1:14" ht="38.25">
      <c r="A149" s="1627">
        <v>287447</v>
      </c>
      <c r="B149" s="1628">
        <v>720.83</v>
      </c>
      <c r="C149" s="1629" t="s">
        <v>376</v>
      </c>
      <c r="D149" s="1630"/>
      <c r="E149" s="1472">
        <v>1522648</v>
      </c>
      <c r="F149" s="1472">
        <v>0</v>
      </c>
      <c r="G149" s="1472">
        <v>0</v>
      </c>
      <c r="H149" s="1472">
        <v>0</v>
      </c>
      <c r="I149" s="1472">
        <f>E149</f>
        <v>1522648</v>
      </c>
      <c r="J149" s="1631" t="s">
        <v>1968</v>
      </c>
    </row>
    <row r="150" spans="1:14" ht="25.5">
      <c r="A150" s="1627">
        <v>287482</v>
      </c>
      <c r="B150" s="1628">
        <v>205.02500000000001</v>
      </c>
      <c r="C150" s="1617" t="s">
        <v>1570</v>
      </c>
      <c r="D150" s="1630"/>
      <c r="E150" s="1472">
        <v>1744878</v>
      </c>
      <c r="F150" s="1472">
        <f t="shared" si="8"/>
        <v>1744878</v>
      </c>
      <c r="G150" s="1473">
        <v>0</v>
      </c>
      <c r="H150" s="1473">
        <v>0</v>
      </c>
      <c r="I150" s="1473">
        <v>0</v>
      </c>
      <c r="J150" s="1631" t="s">
        <v>1833</v>
      </c>
    </row>
    <row r="151" spans="1:14" ht="25.5">
      <c r="A151" s="1627">
        <v>287673</v>
      </c>
      <c r="B151" s="1628">
        <v>730.11</v>
      </c>
      <c r="C151" s="1617" t="s">
        <v>2117</v>
      </c>
      <c r="D151" s="1630"/>
      <c r="E151" s="1472">
        <v>18706462</v>
      </c>
      <c r="F151" s="1472">
        <f t="shared" si="8"/>
        <v>18706462</v>
      </c>
      <c r="G151" s="1473">
        <v>0</v>
      </c>
      <c r="H151" s="1473">
        <v>0</v>
      </c>
      <c r="I151" s="1473">
        <v>0</v>
      </c>
      <c r="J151" s="1631" t="s">
        <v>380</v>
      </c>
    </row>
    <row r="152" spans="1:14" ht="12.75">
      <c r="A152" s="1627">
        <v>287807</v>
      </c>
      <c r="B152" s="1628" t="s">
        <v>437</v>
      </c>
      <c r="C152" s="1617" t="s">
        <v>462</v>
      </c>
      <c r="D152" s="1630"/>
      <c r="E152" s="1472">
        <v>468582</v>
      </c>
      <c r="F152" s="1472">
        <f>+E152</f>
        <v>468582</v>
      </c>
      <c r="G152" s="1473">
        <v>0</v>
      </c>
      <c r="H152" s="1473">
        <v>0</v>
      </c>
      <c r="I152" s="1473">
        <v>0</v>
      </c>
      <c r="J152" s="1631" t="s">
        <v>463</v>
      </c>
    </row>
    <row r="153" spans="1:14" s="1664" customFormat="1" ht="12.75">
      <c r="A153" s="1627">
        <v>287817</v>
      </c>
      <c r="B153" s="1628" t="s">
        <v>437</v>
      </c>
      <c r="C153" s="1617" t="s">
        <v>464</v>
      </c>
      <c r="D153" s="1630"/>
      <c r="E153" s="1472">
        <v>-18561</v>
      </c>
      <c r="F153" s="1472">
        <f>+E153</f>
        <v>-18561</v>
      </c>
      <c r="G153" s="1473">
        <v>0</v>
      </c>
      <c r="H153" s="1473">
        <v>0</v>
      </c>
      <c r="I153" s="1473">
        <v>0</v>
      </c>
      <c r="J153" s="1631" t="s">
        <v>465</v>
      </c>
      <c r="K153" s="305"/>
      <c r="L153" s="305"/>
      <c r="M153" s="305"/>
      <c r="N153" s="305"/>
    </row>
    <row r="154" spans="1:14" ht="12.75">
      <c r="A154" s="1627">
        <v>287827</v>
      </c>
      <c r="B154" s="1628" t="s">
        <v>437</v>
      </c>
      <c r="C154" s="1617" t="s">
        <v>466</v>
      </c>
      <c r="D154" s="1630"/>
      <c r="E154" s="1472">
        <v>101301</v>
      </c>
      <c r="F154" s="1472">
        <f>+E154</f>
        <v>101301</v>
      </c>
      <c r="G154" s="1473">
        <v>0</v>
      </c>
      <c r="H154" s="1473">
        <v>0</v>
      </c>
      <c r="I154" s="1473">
        <v>0</v>
      </c>
      <c r="J154" s="1631" t="s">
        <v>467</v>
      </c>
    </row>
    <row r="155" spans="1:14" ht="12.75">
      <c r="A155" s="1627">
        <v>287837</v>
      </c>
      <c r="B155" s="1628" t="s">
        <v>437</v>
      </c>
      <c r="C155" s="1617" t="s">
        <v>468</v>
      </c>
      <c r="D155" s="1630"/>
      <c r="E155" s="1472">
        <v>-4013</v>
      </c>
      <c r="F155" s="1472">
        <f>+E155</f>
        <v>-4013</v>
      </c>
      <c r="G155" s="1473">
        <v>0</v>
      </c>
      <c r="H155" s="1473">
        <v>0</v>
      </c>
      <c r="I155" s="1473">
        <v>0</v>
      </c>
      <c r="J155" s="1631" t="s">
        <v>469</v>
      </c>
    </row>
    <row r="156" spans="1:14" ht="12.75">
      <c r="A156" s="1636" t="s">
        <v>470</v>
      </c>
      <c r="B156" s="1637"/>
      <c r="C156" s="1638"/>
      <c r="D156" s="1639"/>
      <c r="E156" s="1473">
        <v>1</v>
      </c>
      <c r="F156" s="1473">
        <f>E156</f>
        <v>1</v>
      </c>
      <c r="G156" s="1473">
        <v>0</v>
      </c>
      <c r="H156" s="1473">
        <v>0</v>
      </c>
      <c r="I156" s="1473">
        <v>0</v>
      </c>
      <c r="J156" s="1640"/>
    </row>
    <row r="157" spans="1:14" ht="12.75">
      <c r="A157" s="1641" t="s">
        <v>471</v>
      </c>
      <c r="B157" s="1642"/>
      <c r="C157" s="1637"/>
      <c r="D157" s="1643"/>
      <c r="E157" s="1615">
        <f>SUM(E32:E156)</f>
        <v>928229377</v>
      </c>
      <c r="F157" s="1615">
        <f>SUM(F32:F156)</f>
        <v>904639878</v>
      </c>
      <c r="G157" s="1615">
        <f>SUM(G32:G156)</f>
        <v>1070561</v>
      </c>
      <c r="H157" s="1615">
        <f>SUM(H32:H156)</f>
        <v>0</v>
      </c>
      <c r="I157" s="1615">
        <f>SUM(I32:I156)</f>
        <v>22518938</v>
      </c>
      <c r="J157" s="1615"/>
    </row>
    <row r="158" spans="1:14" ht="12.75">
      <c r="A158" s="1644" t="s">
        <v>472</v>
      </c>
      <c r="B158" s="1645"/>
      <c r="C158" s="339"/>
      <c r="D158" s="1646"/>
      <c r="E158" s="1473">
        <f>+E88+E138+E77+E78+E53</f>
        <v>-75572051</v>
      </c>
      <c r="F158" s="1473">
        <f>+F88+F138+F77+F78+F53</f>
        <v>-75572051</v>
      </c>
      <c r="G158" s="1473">
        <f>+G88+G138+G77+G78</f>
        <v>0</v>
      </c>
      <c r="H158" s="1473">
        <f>+H88+H138+H77+H78</f>
        <v>0</v>
      </c>
      <c r="I158" s="1473">
        <f>+I88+I138+I77+I78</f>
        <v>0</v>
      </c>
      <c r="J158" s="1647"/>
    </row>
    <row r="159" spans="1:14" ht="12.75">
      <c r="A159" s="1648" t="s">
        <v>473</v>
      </c>
      <c r="B159" s="1649"/>
      <c r="C159" s="305"/>
      <c r="D159" s="1650"/>
      <c r="E159" s="1473">
        <f>+E149</f>
        <v>1522648</v>
      </c>
      <c r="F159" s="1473">
        <f>+F149</f>
        <v>0</v>
      </c>
      <c r="G159" s="1473">
        <f>+G149</f>
        <v>0</v>
      </c>
      <c r="H159" s="1473">
        <f>+H149</f>
        <v>0</v>
      </c>
      <c r="I159" s="1473">
        <f>+I149</f>
        <v>1522648</v>
      </c>
      <c r="J159" s="1647"/>
    </row>
    <row r="160" spans="1:14" ht="12.75">
      <c r="A160" s="1641" t="s">
        <v>111</v>
      </c>
      <c r="B160" s="1642"/>
      <c r="C160" s="1637"/>
      <c r="D160" s="1643"/>
      <c r="E160" s="1615">
        <f>+E157-E158-E159</f>
        <v>1002278780</v>
      </c>
      <c r="F160" s="1615">
        <f>+F157-F158-F159</f>
        <v>980211929</v>
      </c>
      <c r="G160" s="1615">
        <f>+G157-G158-G159</f>
        <v>1070561</v>
      </c>
      <c r="H160" s="1615">
        <f>+H157-H158-H159</f>
        <v>0</v>
      </c>
      <c r="I160" s="1615">
        <f>+I157-I158-I159</f>
        <v>20996290</v>
      </c>
      <c r="J160" s="1647"/>
    </row>
    <row r="161" spans="1:12" ht="12.75">
      <c r="A161" s="358"/>
      <c r="B161" s="358"/>
      <c r="C161" s="1651"/>
      <c r="D161" s="1651"/>
      <c r="E161" s="1466"/>
      <c r="F161" s="1652"/>
      <c r="G161" s="1466"/>
      <c r="H161" s="1653"/>
      <c r="I161" s="1654"/>
      <c r="J161" s="1466"/>
    </row>
    <row r="162" spans="1:12" ht="12.75">
      <c r="A162" s="358"/>
      <c r="B162" s="358"/>
      <c r="C162" s="1655" t="s">
        <v>474</v>
      </c>
      <c r="D162" s="1656"/>
      <c r="E162" s="1656"/>
      <c r="F162" s="1657"/>
      <c r="G162" s="1658"/>
      <c r="H162" s="1659"/>
      <c r="I162" s="1466"/>
    </row>
    <row r="163" spans="1:12" ht="12.75">
      <c r="A163" s="358"/>
      <c r="B163" s="358"/>
      <c r="C163" s="1660" t="s">
        <v>475</v>
      </c>
      <c r="D163" s="358"/>
      <c r="E163" s="358"/>
      <c r="F163" s="358"/>
      <c r="G163" s="358"/>
      <c r="H163" s="1843"/>
      <c r="I163" s="1652"/>
    </row>
    <row r="164" spans="1:12" ht="27" customHeight="1">
      <c r="A164" s="358"/>
      <c r="B164" s="358"/>
      <c r="C164" s="1660" t="s">
        <v>476</v>
      </c>
      <c r="D164" s="1466"/>
      <c r="E164" s="1466"/>
      <c r="F164" s="1466"/>
      <c r="G164" s="1654"/>
      <c r="H164" s="1661"/>
      <c r="I164" s="1466"/>
    </row>
    <row r="165" spans="1:12" ht="15" customHeight="1">
      <c r="A165" s="358"/>
      <c r="B165" s="358"/>
      <c r="C165" s="1660" t="s">
        <v>477</v>
      </c>
      <c r="D165" s="1466"/>
      <c r="E165" s="1466"/>
      <c r="F165" s="1466"/>
      <c r="G165" s="1654"/>
      <c r="H165" s="1661"/>
      <c r="I165" s="1652"/>
    </row>
    <row r="166" spans="1:12" ht="12.75">
      <c r="A166" s="358"/>
      <c r="B166" s="358"/>
      <c r="C166" s="1660" t="s">
        <v>478</v>
      </c>
      <c r="D166" s="1466"/>
      <c r="E166" s="1466"/>
      <c r="F166" s="1466"/>
      <c r="G166" s="1654"/>
      <c r="H166" s="1661"/>
      <c r="I166" s="1466"/>
    </row>
    <row r="167" spans="1:12" s="1664" customFormat="1" ht="27" customHeight="1">
      <c r="A167" s="358"/>
      <c r="B167" s="358"/>
      <c r="C167" s="1928" t="s">
        <v>479</v>
      </c>
      <c r="D167" s="1926"/>
      <c r="E167" s="1926"/>
      <c r="F167" s="1926"/>
      <c r="G167" s="1926"/>
      <c r="H167" s="1927"/>
      <c r="I167" s="1466"/>
      <c r="J167" s="305"/>
      <c r="L167" s="305"/>
    </row>
    <row r="168" spans="1:12" s="1664" customFormat="1" ht="12.75">
      <c r="A168" s="358"/>
      <c r="B168" s="358"/>
      <c r="C168" s="358"/>
      <c r="D168" s="358"/>
      <c r="E168" s="358"/>
      <c r="F168" s="358"/>
      <c r="G168" s="358"/>
      <c r="H168" s="358"/>
      <c r="I168" s="1466"/>
      <c r="J168" s="305"/>
      <c r="L168" s="305"/>
    </row>
    <row r="169" spans="1:12" s="1664" customFormat="1" ht="12.75">
      <c r="A169" s="358"/>
      <c r="B169" s="358"/>
      <c r="C169" s="1662"/>
      <c r="D169" s="1662"/>
      <c r="E169" s="1662"/>
      <c r="F169" s="1662"/>
      <c r="G169" s="1662"/>
      <c r="H169" s="1662"/>
      <c r="I169" s="1466"/>
      <c r="J169" s="305"/>
      <c r="L169" s="305"/>
    </row>
    <row r="170" spans="1:12" s="1664" customFormat="1" ht="12.75">
      <c r="A170" s="1257" t="s">
        <v>2</v>
      </c>
      <c r="B170" s="1257"/>
      <c r="C170" s="1663"/>
      <c r="D170" s="1663"/>
      <c r="E170" s="1663"/>
      <c r="F170" s="1663"/>
      <c r="G170" s="1663"/>
      <c r="H170" s="1663"/>
      <c r="I170" s="1663"/>
      <c r="L170" s="305"/>
    </row>
    <row r="171" spans="1:12" s="1664" customFormat="1" ht="12.75">
      <c r="A171" s="485"/>
      <c r="B171" s="485"/>
      <c r="C171" s="1665"/>
      <c r="D171" s="1666"/>
      <c r="E171" s="1666"/>
      <c r="F171" s="1666"/>
      <c r="G171" s="1666"/>
      <c r="H171" s="1666"/>
      <c r="I171" s="1666"/>
      <c r="L171" s="305"/>
    </row>
    <row r="172" spans="1:12" s="1664" customFormat="1" ht="12.75">
      <c r="A172" s="1667" t="s">
        <v>480</v>
      </c>
      <c r="B172" s="1667"/>
      <c r="C172" s="1662"/>
      <c r="D172" s="1662"/>
      <c r="E172" s="1662"/>
      <c r="F172" s="1662"/>
      <c r="G172" s="1662"/>
      <c r="H172" s="1662"/>
      <c r="I172" s="1662"/>
      <c r="L172" s="305"/>
    </row>
    <row r="173" spans="1:12" s="1664" customFormat="1" ht="12.75">
      <c r="A173" s="1257" t="s">
        <v>481</v>
      </c>
      <c r="B173" s="1668"/>
      <c r="C173" s="1666"/>
      <c r="D173" s="1666"/>
      <c r="E173" s="1666"/>
      <c r="F173" s="1666"/>
      <c r="G173" s="1666"/>
      <c r="H173" s="1666"/>
      <c r="I173" s="1666"/>
      <c r="L173" s="305"/>
    </row>
    <row r="174" spans="1:12" s="1664" customFormat="1" ht="12.75">
      <c r="A174" s="1669"/>
      <c r="B174" s="1669"/>
      <c r="C174" s="1610" t="s">
        <v>230</v>
      </c>
      <c r="D174" s="328"/>
      <c r="E174" s="1610" t="s">
        <v>233</v>
      </c>
      <c r="F174" s="1610" t="s">
        <v>235</v>
      </c>
      <c r="G174" s="1610" t="s">
        <v>236</v>
      </c>
      <c r="H174" s="1610" t="s">
        <v>238</v>
      </c>
      <c r="I174" s="1610" t="s">
        <v>240</v>
      </c>
      <c r="J174" s="1610" t="s">
        <v>242</v>
      </c>
      <c r="L174" s="305"/>
    </row>
    <row r="175" spans="1:12" s="1664" customFormat="1" ht="12.75">
      <c r="A175" s="1669"/>
      <c r="B175" s="1669"/>
      <c r="C175" s="1666"/>
      <c r="E175" s="1666"/>
      <c r="F175" s="1663" t="s">
        <v>357</v>
      </c>
      <c r="G175" s="1666"/>
      <c r="H175" s="1663"/>
      <c r="I175" s="1663"/>
      <c r="J175" s="1666"/>
      <c r="L175" s="305"/>
    </row>
    <row r="176" spans="1:12" s="1664" customFormat="1" ht="12.75">
      <c r="A176" s="1257"/>
      <c r="B176" s="1669"/>
      <c r="C176" s="1651"/>
      <c r="E176" s="1663" t="s">
        <v>111</v>
      </c>
      <c r="F176" s="1663" t="s">
        <v>358</v>
      </c>
      <c r="G176" s="1663" t="s">
        <v>359</v>
      </c>
      <c r="H176" s="1663" t="s">
        <v>360</v>
      </c>
      <c r="I176" s="1663" t="s">
        <v>361</v>
      </c>
      <c r="J176" s="1666"/>
      <c r="L176" s="305"/>
    </row>
    <row r="177" spans="1:14" s="1664" customFormat="1" ht="12.75">
      <c r="A177" s="1669"/>
      <c r="B177" s="1669"/>
      <c r="C177" s="1466"/>
      <c r="E177" s="1663"/>
      <c r="F177" s="1663" t="s">
        <v>364</v>
      </c>
      <c r="G177" s="1663" t="s">
        <v>364</v>
      </c>
      <c r="H177" s="1663" t="s">
        <v>364</v>
      </c>
      <c r="I177" s="1663" t="s">
        <v>364</v>
      </c>
      <c r="J177" s="1663" t="s">
        <v>365</v>
      </c>
      <c r="L177" s="305"/>
    </row>
    <row r="178" spans="1:14" s="1664" customFormat="1" ht="12.75">
      <c r="A178" s="1670" t="s">
        <v>482</v>
      </c>
      <c r="B178" s="1671"/>
      <c r="C178" s="1672"/>
      <c r="D178" s="1672"/>
      <c r="E178" s="1673"/>
      <c r="F178" s="1674"/>
      <c r="G178" s="1674"/>
      <c r="H178" s="1674"/>
      <c r="I178" s="1674"/>
      <c r="J178" s="1675"/>
      <c r="L178" s="305"/>
    </row>
    <row r="179" spans="1:14" s="1664" customFormat="1" ht="12.75">
      <c r="A179" s="1475" t="s">
        <v>483</v>
      </c>
      <c r="B179" s="1476"/>
      <c r="C179" s="1477"/>
      <c r="D179" s="1477"/>
      <c r="E179" s="1478"/>
      <c r="F179" s="1619"/>
      <c r="G179" s="1619"/>
      <c r="H179" s="1619"/>
      <c r="I179" s="1619"/>
      <c r="J179" s="1676"/>
      <c r="L179" s="305"/>
    </row>
    <row r="180" spans="1:14" s="1664" customFormat="1" ht="12.75">
      <c r="A180" s="1627">
        <v>287960</v>
      </c>
      <c r="B180" s="1628" t="s">
        <v>437</v>
      </c>
      <c r="C180" s="1617" t="s">
        <v>484</v>
      </c>
      <c r="D180" s="1630"/>
      <c r="E180" s="1677">
        <v>-122977940</v>
      </c>
      <c r="F180" s="1473">
        <f>E180</f>
        <v>-122977940</v>
      </c>
      <c r="G180" s="1473">
        <v>0</v>
      </c>
      <c r="H180" s="1473">
        <v>0</v>
      </c>
      <c r="I180" s="1473">
        <v>0</v>
      </c>
      <c r="J180" s="1631" t="s">
        <v>485</v>
      </c>
      <c r="L180" s="305"/>
      <c r="M180" s="305"/>
      <c r="N180" s="305"/>
    </row>
    <row r="181" spans="1:14" s="1664" customFormat="1" ht="12.75">
      <c r="A181" s="1678"/>
      <c r="B181" s="1628"/>
      <c r="C181" s="1617"/>
      <c r="D181" s="1630"/>
      <c r="E181" s="1677"/>
      <c r="F181" s="1677"/>
      <c r="G181" s="1677"/>
      <c r="H181" s="1677"/>
      <c r="I181" s="1677"/>
      <c r="J181" s="1631"/>
      <c r="L181" s="305"/>
    </row>
    <row r="182" spans="1:14" s="1664" customFormat="1" ht="12.75">
      <c r="A182" s="1679" t="s">
        <v>470</v>
      </c>
      <c r="B182" s="1680"/>
      <c r="C182" s="1680"/>
      <c r="D182" s="1681"/>
      <c r="E182" s="1677">
        <v>0</v>
      </c>
      <c r="F182" s="1677">
        <v>0</v>
      </c>
      <c r="G182" s="1677">
        <v>0</v>
      </c>
      <c r="H182" s="1677">
        <v>0</v>
      </c>
      <c r="I182" s="1677">
        <v>0</v>
      </c>
      <c r="J182" s="1640"/>
      <c r="L182" s="305"/>
    </row>
    <row r="183" spans="1:14" s="1664" customFormat="1" ht="12.75">
      <c r="A183" s="1641" t="s">
        <v>557</v>
      </c>
      <c r="B183" s="1642"/>
      <c r="C183" s="1637"/>
      <c r="D183" s="1643"/>
      <c r="E183" s="1682">
        <f>SUM(E180:E182)</f>
        <v>-122977940</v>
      </c>
      <c r="F183" s="1682">
        <f>SUM(F180:F182)</f>
        <v>-122977940</v>
      </c>
      <c r="G183" s="1682">
        <f>SUM(G180:G182)</f>
        <v>0</v>
      </c>
      <c r="H183" s="1682">
        <f>SUM(H180:H182)</f>
        <v>0</v>
      </c>
      <c r="I183" s="1682">
        <f>SUM(I180:I182)</f>
        <v>0</v>
      </c>
      <c r="J183" s="1674"/>
      <c r="L183" s="305"/>
    </row>
    <row r="184" spans="1:14" ht="12.75">
      <c r="A184" s="1641" t="s">
        <v>472</v>
      </c>
      <c r="B184" s="1642"/>
      <c r="C184" s="1637"/>
      <c r="D184" s="1643"/>
      <c r="E184" s="1677">
        <v>0</v>
      </c>
      <c r="F184" s="1677">
        <v>0</v>
      </c>
      <c r="G184" s="1677">
        <v>0</v>
      </c>
      <c r="H184" s="1677">
        <v>0</v>
      </c>
      <c r="I184" s="1677">
        <v>0</v>
      </c>
      <c r="J184" s="1640"/>
    </row>
    <row r="185" spans="1:14" s="1664" customFormat="1" ht="12.75">
      <c r="A185" s="1641" t="s">
        <v>473</v>
      </c>
      <c r="B185" s="1642"/>
      <c r="C185" s="1637"/>
      <c r="D185" s="1643"/>
      <c r="E185" s="1677">
        <v>0</v>
      </c>
      <c r="F185" s="1677">
        <v>0</v>
      </c>
      <c r="G185" s="1677">
        <v>0</v>
      </c>
      <c r="H185" s="1677">
        <v>0</v>
      </c>
      <c r="I185" s="1677">
        <v>0</v>
      </c>
      <c r="J185" s="1640"/>
      <c r="L185" s="305"/>
    </row>
    <row r="186" spans="1:14" s="1664" customFormat="1" ht="12.75" customHeight="1">
      <c r="A186" s="1641" t="s">
        <v>111</v>
      </c>
      <c r="B186" s="1642"/>
      <c r="C186" s="1637"/>
      <c r="D186" s="1643"/>
      <c r="E186" s="1682">
        <f>+E183-E184-E185</f>
        <v>-122977940</v>
      </c>
      <c r="F186" s="1682">
        <f>+F183-F184-F185</f>
        <v>-122977940</v>
      </c>
      <c r="G186" s="1682">
        <f>+G183-G184-G185</f>
        <v>0</v>
      </c>
      <c r="H186" s="1682">
        <f>+H183-H184-H185</f>
        <v>0</v>
      </c>
      <c r="I186" s="1683">
        <f>+I183-I184-I185</f>
        <v>0</v>
      </c>
      <c r="J186" s="1640"/>
      <c r="L186" s="305"/>
    </row>
    <row r="187" spans="1:14" s="1664" customFormat="1" ht="12.75">
      <c r="A187" s="332"/>
      <c r="B187" s="332"/>
      <c r="C187" s="1466"/>
      <c r="D187" s="1466"/>
      <c r="E187" s="1466"/>
      <c r="F187" s="1466"/>
      <c r="G187" s="1466"/>
      <c r="H187" s="1466"/>
      <c r="I187" s="1466"/>
      <c r="J187" s="305"/>
      <c r="L187" s="305"/>
    </row>
    <row r="188" spans="1:14" s="1664" customFormat="1" ht="12.75">
      <c r="A188" s="320"/>
      <c r="B188" s="320"/>
      <c r="C188" s="1655" t="s">
        <v>486</v>
      </c>
      <c r="D188" s="1297"/>
      <c r="E188" s="1297"/>
      <c r="F188" s="1297"/>
      <c r="G188" s="1684"/>
      <c r="H188" s="1685"/>
      <c r="I188" s="1666"/>
      <c r="L188" s="305"/>
    </row>
    <row r="189" spans="1:14" s="1664" customFormat="1" ht="12.75">
      <c r="A189" s="320"/>
      <c r="B189" s="320"/>
      <c r="C189" s="1929" t="s">
        <v>475</v>
      </c>
      <c r="D189" s="1930"/>
      <c r="E189" s="1930"/>
      <c r="F189" s="1930"/>
      <c r="G189" s="1930"/>
      <c r="H189" s="1931"/>
      <c r="I189" s="1666"/>
      <c r="L189" s="305"/>
    </row>
    <row r="190" spans="1:14" s="1664" customFormat="1" ht="28.5" customHeight="1">
      <c r="A190" s="320"/>
      <c r="B190" s="320"/>
      <c r="C190" s="1660" t="s">
        <v>476</v>
      </c>
      <c r="D190" s="305"/>
      <c r="E190" s="305"/>
      <c r="F190" s="305"/>
      <c r="G190" s="343"/>
      <c r="H190" s="1686"/>
      <c r="I190" s="1666"/>
      <c r="L190" s="305"/>
    </row>
    <row r="191" spans="1:14" s="1664" customFormat="1" ht="12.75">
      <c r="A191" s="320"/>
      <c r="B191" s="320"/>
      <c r="C191" s="1660" t="s">
        <v>477</v>
      </c>
      <c r="D191" s="305"/>
      <c r="E191" s="305"/>
      <c r="F191" s="305"/>
      <c r="G191" s="343"/>
      <c r="H191" s="1686"/>
      <c r="I191" s="1666"/>
      <c r="L191" s="305"/>
    </row>
    <row r="192" spans="1:14" s="1664" customFormat="1" ht="12.75">
      <c r="A192" s="320"/>
      <c r="B192" s="320"/>
      <c r="C192" s="1660" t="s">
        <v>478</v>
      </c>
      <c r="D192" s="305"/>
      <c r="E192" s="305"/>
      <c r="F192" s="305"/>
      <c r="G192" s="343"/>
      <c r="H192" s="1686"/>
      <c r="I192" s="1666"/>
      <c r="L192" s="305"/>
    </row>
    <row r="193" spans="1:12" s="1664" customFormat="1" ht="34.5" customHeight="1">
      <c r="A193" s="320"/>
      <c r="B193" s="320"/>
      <c r="C193" s="1928" t="s">
        <v>479</v>
      </c>
      <c r="D193" s="1926"/>
      <c r="E193" s="1926"/>
      <c r="F193" s="1926"/>
      <c r="G193" s="1926"/>
      <c r="H193" s="1927"/>
      <c r="L193" s="305"/>
    </row>
    <row r="194" spans="1:12" s="1664" customFormat="1" ht="12.75">
      <c r="A194" s="320"/>
      <c r="B194" s="320"/>
      <c r="C194" s="358"/>
      <c r="D194" s="358"/>
      <c r="E194" s="358"/>
      <c r="F194" s="358"/>
      <c r="G194" s="358"/>
      <c r="H194" s="358"/>
      <c r="L194" s="305"/>
    </row>
    <row r="195" spans="1:12" s="1664" customFormat="1" ht="12.75">
      <c r="A195" s="1257" t="s">
        <v>2</v>
      </c>
      <c r="B195" s="1669"/>
      <c r="C195" s="1687"/>
      <c r="D195" s="1687"/>
      <c r="E195" s="1687"/>
      <c r="F195" s="1687"/>
      <c r="G195" s="1687"/>
      <c r="H195" s="1687"/>
      <c r="L195" s="305"/>
    </row>
    <row r="196" spans="1:12" ht="12.75">
      <c r="A196" s="485"/>
      <c r="B196" s="1669"/>
      <c r="C196" s="1687"/>
      <c r="D196" s="1687"/>
      <c r="E196" s="1687"/>
      <c r="F196" s="1687"/>
      <c r="G196" s="1687"/>
      <c r="H196" s="1687"/>
      <c r="I196" s="1664"/>
      <c r="J196" s="1664"/>
    </row>
    <row r="197" spans="1:12" ht="12.75">
      <c r="A197" s="1667" t="s">
        <v>480</v>
      </c>
      <c r="B197" s="1669"/>
      <c r="C197" s="1687"/>
      <c r="D197" s="1687"/>
      <c r="E197" s="1687"/>
      <c r="F197" s="1687"/>
      <c r="G197" s="1687"/>
      <c r="H197" s="1687"/>
      <c r="I197" s="1664"/>
      <c r="J197" s="1664"/>
    </row>
    <row r="198" spans="1:12" ht="12.75">
      <c r="A198" s="1669"/>
      <c r="B198" s="1669"/>
      <c r="C198" s="1687"/>
      <c r="D198" s="1687"/>
      <c r="E198" s="1687"/>
      <c r="F198" s="1687"/>
      <c r="G198" s="1687"/>
      <c r="H198" s="1687"/>
      <c r="I198" s="1664"/>
      <c r="J198" s="1664"/>
    </row>
    <row r="199" spans="1:12" ht="12.75">
      <c r="A199" s="1257" t="s">
        <v>487</v>
      </c>
      <c r="B199" s="1667"/>
      <c r="C199" s="1662"/>
      <c r="D199" s="1662"/>
      <c r="E199" s="1662"/>
      <c r="F199" s="1662"/>
      <c r="G199" s="1662"/>
      <c r="H199" s="1662"/>
      <c r="I199" s="1662"/>
    </row>
    <row r="200" spans="1:12" ht="12.75">
      <c r="A200" s="329"/>
      <c r="B200" s="329"/>
      <c r="C200" s="1610" t="s">
        <v>230</v>
      </c>
      <c r="D200" s="328"/>
      <c r="E200" s="1610" t="s">
        <v>233</v>
      </c>
      <c r="F200" s="1610" t="s">
        <v>235</v>
      </c>
      <c r="G200" s="1610" t="s">
        <v>236</v>
      </c>
      <c r="H200" s="1610" t="s">
        <v>238</v>
      </c>
      <c r="I200" s="1610" t="s">
        <v>240</v>
      </c>
      <c r="J200" s="1610" t="s">
        <v>242</v>
      </c>
    </row>
    <row r="201" spans="1:12" ht="12.75">
      <c r="A201" s="329"/>
      <c r="B201" s="329"/>
      <c r="C201" s="329"/>
      <c r="E201" s="329"/>
      <c r="F201" s="329" t="s">
        <v>357</v>
      </c>
      <c r="G201" s="329"/>
      <c r="H201" s="329"/>
      <c r="I201" s="329"/>
      <c r="J201" s="329"/>
    </row>
    <row r="202" spans="1:12" ht="12.75">
      <c r="A202" s="1257"/>
      <c r="B202" s="1257"/>
      <c r="C202" s="329"/>
      <c r="E202" s="329" t="s">
        <v>111</v>
      </c>
      <c r="F202" s="329" t="s">
        <v>358</v>
      </c>
      <c r="G202" s="329" t="s">
        <v>359</v>
      </c>
      <c r="H202" s="329" t="s">
        <v>360</v>
      </c>
      <c r="I202" s="329" t="s">
        <v>361</v>
      </c>
      <c r="J202" s="329"/>
    </row>
    <row r="203" spans="1:12" ht="12.75">
      <c r="A203" s="329"/>
      <c r="B203" s="329"/>
      <c r="C203" s="329"/>
      <c r="E203" s="329"/>
      <c r="F203" s="329" t="s">
        <v>364</v>
      </c>
      <c r="G203" s="329" t="s">
        <v>364</v>
      </c>
      <c r="H203" s="329" t="s">
        <v>364</v>
      </c>
      <c r="I203" s="329" t="s">
        <v>364</v>
      </c>
      <c r="J203" s="329" t="s">
        <v>365</v>
      </c>
    </row>
    <row r="204" spans="1:12" ht="12.75">
      <c r="A204" s="1670" t="s">
        <v>488</v>
      </c>
      <c r="B204" s="1671"/>
      <c r="C204" s="1672"/>
      <c r="D204" s="1688"/>
      <c r="E204" s="1673"/>
      <c r="F204" s="1615"/>
      <c r="G204" s="1615"/>
      <c r="H204" s="1615"/>
      <c r="I204" s="1615"/>
      <c r="J204" s="1675"/>
    </row>
    <row r="205" spans="1:12" ht="25.5">
      <c r="A205" s="1627">
        <v>287605</v>
      </c>
      <c r="B205" s="1628">
        <v>105.14700000000001</v>
      </c>
      <c r="C205" s="1632" t="s">
        <v>489</v>
      </c>
      <c r="D205" s="1479"/>
      <c r="E205" s="1473">
        <v>-111999</v>
      </c>
      <c r="F205" s="1473">
        <f>E205</f>
        <v>-111999</v>
      </c>
      <c r="G205" s="1473">
        <v>0</v>
      </c>
      <c r="H205" s="1473">
        <v>0</v>
      </c>
      <c r="I205" s="1473">
        <v>0</v>
      </c>
      <c r="J205" s="1631" t="s">
        <v>490</v>
      </c>
    </row>
    <row r="206" spans="1:12" ht="25.5">
      <c r="A206" s="1627">
        <v>287599</v>
      </c>
      <c r="B206" s="1628">
        <v>105.16</v>
      </c>
      <c r="C206" s="1632" t="s">
        <v>491</v>
      </c>
      <c r="D206" s="1479"/>
      <c r="E206" s="1473">
        <v>-3880952</v>
      </c>
      <c r="F206" s="1473">
        <f>E206</f>
        <v>-3880952</v>
      </c>
      <c r="G206" s="1473">
        <v>0</v>
      </c>
      <c r="H206" s="1473">
        <v>0</v>
      </c>
      <c r="I206" s="1473">
        <v>0</v>
      </c>
      <c r="J206" s="1474" t="s">
        <v>492</v>
      </c>
    </row>
    <row r="207" spans="1:12" ht="25.5">
      <c r="A207" s="1627">
        <v>287766</v>
      </c>
      <c r="B207" s="1628">
        <v>610.101</v>
      </c>
      <c r="C207" s="1632" t="s">
        <v>493</v>
      </c>
      <c r="D207" s="1479"/>
      <c r="E207" s="1473">
        <v>-1</v>
      </c>
      <c r="F207" s="1473">
        <f>E207</f>
        <v>-1</v>
      </c>
      <c r="G207" s="1473">
        <v>0</v>
      </c>
      <c r="H207" s="1473">
        <v>0</v>
      </c>
      <c r="I207" s="1473">
        <v>0</v>
      </c>
      <c r="J207" s="1631" t="s">
        <v>494</v>
      </c>
    </row>
    <row r="208" spans="1:12" ht="12.75">
      <c r="A208" s="1627">
        <v>287610</v>
      </c>
      <c r="B208" s="1628">
        <v>105.40300000000001</v>
      </c>
      <c r="C208" s="1632" t="s">
        <v>1969</v>
      </c>
      <c r="D208" s="1479"/>
      <c r="E208" s="1473">
        <v>-28797061</v>
      </c>
      <c r="F208" s="1473">
        <f>E208</f>
        <v>-28797061</v>
      </c>
      <c r="G208" s="1473">
        <v>0</v>
      </c>
      <c r="H208" s="1473">
        <v>0</v>
      </c>
      <c r="I208" s="1473">
        <v>0</v>
      </c>
      <c r="J208" s="1631" t="s">
        <v>1970</v>
      </c>
    </row>
    <row r="209" spans="1:10" ht="12.75">
      <c r="A209" s="1627">
        <v>287605</v>
      </c>
      <c r="B209" s="1628">
        <v>105.142</v>
      </c>
      <c r="C209" s="1632" t="s">
        <v>496</v>
      </c>
      <c r="D209" s="1479"/>
      <c r="E209" s="1473">
        <v>263378900</v>
      </c>
      <c r="F209" s="1473">
        <f>E209</f>
        <v>263378900</v>
      </c>
      <c r="G209" s="1473">
        <v>0</v>
      </c>
      <c r="H209" s="1473">
        <v>0</v>
      </c>
      <c r="I209" s="1473">
        <v>0</v>
      </c>
      <c r="J209" s="1631" t="s">
        <v>497</v>
      </c>
    </row>
    <row r="210" spans="1:10" ht="25.5">
      <c r="A210" s="1627">
        <v>287704</v>
      </c>
      <c r="B210" s="1628">
        <v>105.143</v>
      </c>
      <c r="C210" s="1632" t="s">
        <v>498</v>
      </c>
      <c r="D210" s="1479"/>
      <c r="E210" s="1473">
        <v>-302952</v>
      </c>
      <c r="F210" s="1473">
        <v>0</v>
      </c>
      <c r="G210" s="1473">
        <v>0</v>
      </c>
      <c r="H210" s="1473">
        <f>E210</f>
        <v>-302952</v>
      </c>
      <c r="I210" s="1473">
        <v>0</v>
      </c>
      <c r="J210" s="1631" t="s">
        <v>499</v>
      </c>
    </row>
    <row r="211" spans="1:10" ht="12.75">
      <c r="A211" s="1627">
        <v>287605</v>
      </c>
      <c r="B211" s="1628">
        <v>105.12</v>
      </c>
      <c r="C211" s="1632" t="s">
        <v>501</v>
      </c>
      <c r="D211" s="1479"/>
      <c r="E211" s="1473">
        <v>3687390575</v>
      </c>
      <c r="F211" s="1473">
        <f t="shared" ref="F211:F216" si="9">E211</f>
        <v>3687390575</v>
      </c>
      <c r="G211" s="1473">
        <v>0</v>
      </c>
      <c r="H211" s="1473">
        <v>0</v>
      </c>
      <c r="I211" s="1473">
        <v>0</v>
      </c>
      <c r="J211" s="1631" t="s">
        <v>502</v>
      </c>
    </row>
    <row r="212" spans="1:10" ht="12.75">
      <c r="A212" s="1627">
        <v>287605</v>
      </c>
      <c r="B212" s="1628">
        <v>105.47</v>
      </c>
      <c r="C212" s="1632" t="s">
        <v>503</v>
      </c>
      <c r="D212" s="1479"/>
      <c r="E212" s="1473">
        <v>13040224</v>
      </c>
      <c r="F212" s="1473">
        <f t="shared" si="9"/>
        <v>13040224</v>
      </c>
      <c r="G212" s="1473">
        <v>0</v>
      </c>
      <c r="H212" s="1473">
        <v>0</v>
      </c>
      <c r="I212" s="1473">
        <v>0</v>
      </c>
      <c r="J212" s="1631" t="s">
        <v>1971</v>
      </c>
    </row>
    <row r="213" spans="1:10" ht="25.5">
      <c r="A213" s="1627">
        <v>287605</v>
      </c>
      <c r="B213" s="1628">
        <v>105.146</v>
      </c>
      <c r="C213" s="1632" t="s">
        <v>504</v>
      </c>
      <c r="D213" s="1479"/>
      <c r="E213" s="1473">
        <v>5756251</v>
      </c>
      <c r="F213" s="1473">
        <f t="shared" si="9"/>
        <v>5756251</v>
      </c>
      <c r="G213" s="1473">
        <v>0</v>
      </c>
      <c r="H213" s="1473">
        <v>0</v>
      </c>
      <c r="I213" s="1473">
        <v>0</v>
      </c>
      <c r="J213" s="1631" t="s">
        <v>505</v>
      </c>
    </row>
    <row r="214" spans="1:10" ht="12.75">
      <c r="A214" s="1627">
        <v>287605</v>
      </c>
      <c r="B214" s="1628">
        <v>105.137</v>
      </c>
      <c r="C214" s="1632" t="s">
        <v>506</v>
      </c>
      <c r="D214" s="1479"/>
      <c r="E214" s="1473">
        <v>-29705205</v>
      </c>
      <c r="F214" s="1473">
        <f t="shared" si="9"/>
        <v>-29705205</v>
      </c>
      <c r="G214" s="1473">
        <v>0</v>
      </c>
      <c r="H214" s="1473">
        <v>0</v>
      </c>
      <c r="I214" s="1473">
        <v>0</v>
      </c>
      <c r="J214" s="1631" t="s">
        <v>507</v>
      </c>
    </row>
    <row r="215" spans="1:10" ht="12.75">
      <c r="A215" s="1627">
        <v>287605</v>
      </c>
      <c r="B215" s="1628">
        <v>105.1</v>
      </c>
      <c r="C215" s="1632" t="s">
        <v>508</v>
      </c>
      <c r="D215" s="1479"/>
      <c r="E215" s="1473">
        <v>26391653</v>
      </c>
      <c r="F215" s="1473">
        <f t="shared" si="9"/>
        <v>26391653</v>
      </c>
      <c r="G215" s="1473">
        <v>0</v>
      </c>
      <c r="H215" s="1473">
        <v>0</v>
      </c>
      <c r="I215" s="1473">
        <v>0</v>
      </c>
      <c r="J215" s="1631" t="s">
        <v>509</v>
      </c>
    </row>
    <row r="216" spans="1:10" ht="14.45" customHeight="1">
      <c r="A216" s="1627">
        <v>287605</v>
      </c>
      <c r="B216" s="1628">
        <v>105.101</v>
      </c>
      <c r="C216" s="1632" t="s">
        <v>510</v>
      </c>
      <c r="D216" s="1479"/>
      <c r="E216" s="1473">
        <v>1565135</v>
      </c>
      <c r="F216" s="1473">
        <f t="shared" si="9"/>
        <v>1565135</v>
      </c>
      <c r="G216" s="1473">
        <v>0</v>
      </c>
      <c r="H216" s="1473">
        <v>0</v>
      </c>
      <c r="I216" s="1473">
        <v>0</v>
      </c>
      <c r="J216" s="1631" t="s">
        <v>511</v>
      </c>
    </row>
    <row r="217" spans="1:10" ht="12.75">
      <c r="A217" s="1627">
        <v>287605</v>
      </c>
      <c r="B217" s="1689" t="s">
        <v>437</v>
      </c>
      <c r="C217" s="1617" t="s">
        <v>512</v>
      </c>
      <c r="D217" s="1630"/>
      <c r="E217" s="1473">
        <v>0</v>
      </c>
      <c r="F217" s="1473">
        <v>870370759</v>
      </c>
      <c r="G217" s="1473">
        <f>-F217</f>
        <v>-870370759</v>
      </c>
      <c r="H217" s="1473">
        <v>0</v>
      </c>
      <c r="I217" s="1473">
        <v>0</v>
      </c>
      <c r="J217" s="1631" t="s">
        <v>513</v>
      </c>
    </row>
    <row r="218" spans="1:10" ht="12.75">
      <c r="A218" s="1627">
        <v>287605</v>
      </c>
      <c r="B218" s="1689" t="s">
        <v>437</v>
      </c>
      <c r="C218" s="1617" t="s">
        <v>514</v>
      </c>
      <c r="D218" s="1630"/>
      <c r="E218" s="1473">
        <v>0</v>
      </c>
      <c r="F218" s="1473">
        <v>41664878.009999998</v>
      </c>
      <c r="G218" s="1473">
        <v>0</v>
      </c>
      <c r="H218" s="1473">
        <v>0</v>
      </c>
      <c r="I218" s="1473">
        <f>-F218</f>
        <v>-41664878.009999998</v>
      </c>
      <c r="J218" s="1631" t="s">
        <v>515</v>
      </c>
    </row>
    <row r="219" spans="1:10" ht="12.75">
      <c r="A219" s="1627">
        <v>287605</v>
      </c>
      <c r="B219" s="1689" t="s">
        <v>437</v>
      </c>
      <c r="C219" s="1617" t="s">
        <v>516</v>
      </c>
      <c r="D219" s="1630"/>
      <c r="E219" s="1473">
        <v>0</v>
      </c>
      <c r="F219" s="1473">
        <v>132706980</v>
      </c>
      <c r="G219" s="1473">
        <v>0</v>
      </c>
      <c r="H219" s="1473">
        <v>0</v>
      </c>
      <c r="I219" s="1473">
        <f t="shared" ref="I219" si="10">-F219</f>
        <v>-132706980</v>
      </c>
      <c r="J219" s="1631" t="s">
        <v>517</v>
      </c>
    </row>
    <row r="220" spans="1:10" ht="25.5">
      <c r="A220" s="1627">
        <v>287605</v>
      </c>
      <c r="B220" s="1628">
        <v>105.15300000000001</v>
      </c>
      <c r="C220" s="1632" t="s">
        <v>1679</v>
      </c>
      <c r="D220" s="1479"/>
      <c r="E220" s="1473">
        <v>-57751</v>
      </c>
      <c r="F220" s="1473">
        <f t="shared" ref="F220:F230" si="11">E220</f>
        <v>-57751</v>
      </c>
      <c r="G220" s="1473">
        <v>0</v>
      </c>
      <c r="H220" s="1473">
        <v>0</v>
      </c>
      <c r="I220" s="1473">
        <v>0</v>
      </c>
      <c r="J220" s="1474" t="s">
        <v>434</v>
      </c>
    </row>
    <row r="221" spans="1:10" ht="12.75">
      <c r="A221" s="1627">
        <v>287605</v>
      </c>
      <c r="B221" s="1628">
        <v>105.13</v>
      </c>
      <c r="C221" s="1632" t="s">
        <v>518</v>
      </c>
      <c r="D221" s="1479"/>
      <c r="E221" s="1473">
        <v>408293628</v>
      </c>
      <c r="F221" s="1473">
        <f t="shared" si="11"/>
        <v>408293628</v>
      </c>
      <c r="G221" s="1473">
        <v>0</v>
      </c>
      <c r="H221" s="1473">
        <v>0</v>
      </c>
      <c r="I221" s="1473">
        <v>0</v>
      </c>
      <c r="J221" s="1631" t="s">
        <v>519</v>
      </c>
    </row>
    <row r="222" spans="1:10" ht="26.25" customHeight="1">
      <c r="A222" s="1627">
        <v>287605</v>
      </c>
      <c r="B222" s="1628">
        <v>105.175</v>
      </c>
      <c r="C222" s="1632" t="s">
        <v>520</v>
      </c>
      <c r="D222" s="1479"/>
      <c r="E222" s="1473">
        <v>-284893580</v>
      </c>
      <c r="F222" s="1473">
        <f t="shared" si="11"/>
        <v>-284893580</v>
      </c>
      <c r="G222" s="1473">
        <v>0</v>
      </c>
      <c r="H222" s="1473">
        <v>0</v>
      </c>
      <c r="I222" s="1473">
        <v>0</v>
      </c>
      <c r="J222" s="1631" t="s">
        <v>521</v>
      </c>
    </row>
    <row r="223" spans="1:10" ht="12.75">
      <c r="A223" s="1627">
        <v>287224</v>
      </c>
      <c r="B223" s="1628">
        <v>145.03</v>
      </c>
      <c r="C223" s="1632" t="s">
        <v>522</v>
      </c>
      <c r="D223" s="1479"/>
      <c r="E223" s="1473">
        <v>1241377</v>
      </c>
      <c r="F223" s="1473">
        <f t="shared" si="11"/>
        <v>1241377</v>
      </c>
      <c r="G223" s="1473">
        <v>0</v>
      </c>
      <c r="H223" s="1473">
        <v>0</v>
      </c>
      <c r="I223" s="1473">
        <v>0</v>
      </c>
      <c r="J223" s="1631" t="s">
        <v>1972</v>
      </c>
    </row>
    <row r="224" spans="1:10" ht="51">
      <c r="A224" s="1627">
        <v>287605</v>
      </c>
      <c r="B224" s="1628">
        <v>105.14100000000001</v>
      </c>
      <c r="C224" s="1632" t="s">
        <v>523</v>
      </c>
      <c r="D224" s="1479"/>
      <c r="E224" s="1473">
        <v>-214524157</v>
      </c>
      <c r="F224" s="1473">
        <f t="shared" si="11"/>
        <v>-214524157</v>
      </c>
      <c r="G224" s="1473">
        <v>0</v>
      </c>
      <c r="H224" s="1473">
        <v>0</v>
      </c>
      <c r="I224" s="1473">
        <v>0</v>
      </c>
      <c r="J224" s="1631" t="s">
        <v>524</v>
      </c>
    </row>
    <row r="225" spans="1:10" ht="28.5" customHeight="1">
      <c r="A225" s="1627">
        <v>287607</v>
      </c>
      <c r="B225" s="1628">
        <v>105.117</v>
      </c>
      <c r="C225" s="1632" t="s">
        <v>658</v>
      </c>
      <c r="D225" s="1479"/>
      <c r="E225" s="1473">
        <v>-1355177</v>
      </c>
      <c r="F225" s="1473">
        <f t="shared" si="11"/>
        <v>-1355177</v>
      </c>
      <c r="G225" s="1473">
        <v>0</v>
      </c>
      <c r="H225" s="1473">
        <v>0</v>
      </c>
      <c r="I225" s="1473">
        <v>0</v>
      </c>
      <c r="J225" s="1631" t="s">
        <v>1680</v>
      </c>
    </row>
    <row r="226" spans="1:10" ht="76.5">
      <c r="A226" s="1627">
        <v>287605</v>
      </c>
      <c r="B226" s="1628">
        <v>105.11499999999999</v>
      </c>
      <c r="C226" s="1632" t="s">
        <v>525</v>
      </c>
      <c r="D226" s="1479"/>
      <c r="E226" s="1473">
        <v>-48534471</v>
      </c>
      <c r="F226" s="1473">
        <f t="shared" si="11"/>
        <v>-48534471</v>
      </c>
      <c r="G226" s="1473">
        <v>0</v>
      </c>
      <c r="H226" s="1473">
        <v>0</v>
      </c>
      <c r="I226" s="1473">
        <v>0</v>
      </c>
      <c r="J226" s="1474" t="s">
        <v>1681</v>
      </c>
    </row>
    <row r="227" spans="1:10" ht="51">
      <c r="A227" s="1627">
        <v>287605</v>
      </c>
      <c r="B227" s="1628">
        <v>105.139</v>
      </c>
      <c r="C227" s="1632" t="s">
        <v>526</v>
      </c>
      <c r="D227" s="1479"/>
      <c r="E227" s="1473">
        <v>-186936916</v>
      </c>
      <c r="F227" s="1473">
        <f t="shared" si="11"/>
        <v>-186936916</v>
      </c>
      <c r="G227" s="1473">
        <v>0</v>
      </c>
      <c r="H227" s="1473">
        <v>0</v>
      </c>
      <c r="I227" s="1473">
        <v>0</v>
      </c>
      <c r="J227" s="1631" t="s">
        <v>524</v>
      </c>
    </row>
    <row r="228" spans="1:10" ht="25.5">
      <c r="A228" s="1627">
        <v>287928</v>
      </c>
      <c r="B228" s="1628">
        <v>425.31</v>
      </c>
      <c r="C228" s="1632" t="s">
        <v>527</v>
      </c>
      <c r="D228" s="1479"/>
      <c r="E228" s="1473">
        <v>-2370239</v>
      </c>
      <c r="F228" s="1473">
        <f t="shared" si="11"/>
        <v>-2370239</v>
      </c>
      <c r="G228" s="1473">
        <v>0</v>
      </c>
      <c r="H228" s="1473">
        <v>0</v>
      </c>
      <c r="I228" s="1473">
        <v>0</v>
      </c>
      <c r="J228" s="1631" t="s">
        <v>528</v>
      </c>
    </row>
    <row r="229" spans="1:10" ht="12.75">
      <c r="A229" s="1627">
        <v>287605</v>
      </c>
      <c r="B229" s="1628">
        <v>105.125</v>
      </c>
      <c r="C229" s="1632" t="s">
        <v>529</v>
      </c>
      <c r="D229" s="1479"/>
      <c r="E229" s="1473">
        <v>-5985364521</v>
      </c>
      <c r="F229" s="1473">
        <f t="shared" si="11"/>
        <v>-5985364521</v>
      </c>
      <c r="G229" s="1473">
        <v>0</v>
      </c>
      <c r="H229" s="1473">
        <v>0</v>
      </c>
      <c r="I229" s="1473">
        <v>0</v>
      </c>
      <c r="J229" s="1631" t="s">
        <v>530</v>
      </c>
    </row>
    <row r="230" spans="1:10" ht="12.75">
      <c r="A230" s="1627">
        <v>287605</v>
      </c>
      <c r="B230" s="1628">
        <v>105.152</v>
      </c>
      <c r="C230" s="1632" t="s">
        <v>531</v>
      </c>
      <c r="D230" s="1479"/>
      <c r="E230" s="1473">
        <v>-112832580</v>
      </c>
      <c r="F230" s="1473">
        <f t="shared" si="11"/>
        <v>-112832580</v>
      </c>
      <c r="G230" s="1473">
        <v>0</v>
      </c>
      <c r="H230" s="1473">
        <v>0</v>
      </c>
      <c r="I230" s="1473">
        <v>0</v>
      </c>
      <c r="J230" s="1631" t="s">
        <v>532</v>
      </c>
    </row>
    <row r="231" spans="1:10" ht="25.5">
      <c r="A231" s="1627">
        <v>287605</v>
      </c>
      <c r="B231" s="1628">
        <v>105.129</v>
      </c>
      <c r="C231" s="1632" t="s">
        <v>533</v>
      </c>
      <c r="D231" s="1479"/>
      <c r="E231" s="1473">
        <v>19879879</v>
      </c>
      <c r="F231" s="1473">
        <v>0</v>
      </c>
      <c r="G231" s="1473">
        <v>0</v>
      </c>
      <c r="H231" s="1473">
        <f>+E231</f>
        <v>19879879</v>
      </c>
      <c r="I231" s="1473">
        <v>0</v>
      </c>
      <c r="J231" s="1631" t="s">
        <v>534</v>
      </c>
    </row>
    <row r="232" spans="1:10" ht="12.75">
      <c r="A232" s="1627">
        <v>287605</v>
      </c>
      <c r="B232" s="1628">
        <v>105.131</v>
      </c>
      <c r="C232" s="1632" t="s">
        <v>1973</v>
      </c>
      <c r="D232" s="1479"/>
      <c r="E232" s="1473">
        <v>449566</v>
      </c>
      <c r="F232" s="1473">
        <f t="shared" ref="F232:F261" si="12">E232</f>
        <v>449566</v>
      </c>
      <c r="G232" s="1473">
        <v>0</v>
      </c>
      <c r="H232" s="1473">
        <v>0</v>
      </c>
      <c r="I232" s="1473">
        <v>0</v>
      </c>
      <c r="J232" s="1631" t="s">
        <v>1974</v>
      </c>
    </row>
    <row r="233" spans="1:10" ht="25.5">
      <c r="A233" s="1627">
        <v>287605</v>
      </c>
      <c r="B233" s="1628">
        <v>105.148</v>
      </c>
      <c r="C233" s="1632" t="s">
        <v>535</v>
      </c>
      <c r="D233" s="1479"/>
      <c r="E233" s="1473">
        <v>-306514</v>
      </c>
      <c r="F233" s="1473">
        <f t="shared" si="12"/>
        <v>-306514</v>
      </c>
      <c r="G233" s="1473">
        <v>0</v>
      </c>
      <c r="H233" s="1473">
        <v>0</v>
      </c>
      <c r="I233" s="1473">
        <v>0</v>
      </c>
      <c r="J233" s="1631" t="s">
        <v>536</v>
      </c>
    </row>
    <row r="234" spans="1:10" ht="12.75">
      <c r="A234" s="1627">
        <v>287929</v>
      </c>
      <c r="B234" s="1628">
        <v>105.46</v>
      </c>
      <c r="C234" s="1632" t="s">
        <v>537</v>
      </c>
      <c r="D234" s="1479"/>
      <c r="E234" s="1473">
        <v>-314746086</v>
      </c>
      <c r="F234" s="1473">
        <f t="shared" si="12"/>
        <v>-314746086</v>
      </c>
      <c r="G234" s="1473">
        <v>0</v>
      </c>
      <c r="H234" s="1473">
        <v>0</v>
      </c>
      <c r="I234" s="1473">
        <v>0</v>
      </c>
      <c r="J234" s="1631" t="s">
        <v>495</v>
      </c>
    </row>
    <row r="235" spans="1:10" ht="25.5">
      <c r="A235" s="1627">
        <v>286605</v>
      </c>
      <c r="B235" s="1628">
        <v>105.136</v>
      </c>
      <c r="C235" s="1632" t="s">
        <v>659</v>
      </c>
      <c r="D235" s="1479"/>
      <c r="E235" s="1473">
        <v>-383916</v>
      </c>
      <c r="F235" s="1473">
        <f>E235</f>
        <v>-383916</v>
      </c>
      <c r="G235" s="1473">
        <v>0</v>
      </c>
      <c r="H235" s="1473">
        <v>0</v>
      </c>
      <c r="I235" s="1473">
        <v>0</v>
      </c>
      <c r="J235" s="1474" t="s">
        <v>1682</v>
      </c>
    </row>
    <row r="236" spans="1:10" ht="38.25">
      <c r="A236" s="1627">
        <v>287605</v>
      </c>
      <c r="B236" s="1628">
        <v>320.20999999999998</v>
      </c>
      <c r="C236" s="1632" t="s">
        <v>538</v>
      </c>
      <c r="D236" s="1479"/>
      <c r="E236" s="1473">
        <v>-7719946</v>
      </c>
      <c r="F236" s="1473">
        <f t="shared" si="12"/>
        <v>-7719946</v>
      </c>
      <c r="G236" s="1473">
        <v>0</v>
      </c>
      <c r="H236" s="1473">
        <v>0</v>
      </c>
      <c r="I236" s="1473">
        <v>0</v>
      </c>
      <c r="J236" s="1631" t="s">
        <v>539</v>
      </c>
    </row>
    <row r="237" spans="1:10" ht="51" customHeight="1">
      <c r="A237" s="1627">
        <v>286914</v>
      </c>
      <c r="B237" s="1628">
        <v>415.52499999999998</v>
      </c>
      <c r="C237" s="1632" t="s">
        <v>1683</v>
      </c>
      <c r="D237" s="1479"/>
      <c r="E237" s="1473">
        <v>-489022</v>
      </c>
      <c r="F237" s="1473">
        <f t="shared" si="12"/>
        <v>-489022</v>
      </c>
      <c r="G237" s="1473">
        <v>0</v>
      </c>
      <c r="H237" s="1473">
        <v>0</v>
      </c>
      <c r="I237" s="1473">
        <v>0</v>
      </c>
      <c r="J237" s="1631" t="s">
        <v>1684</v>
      </c>
    </row>
    <row r="238" spans="1:10" ht="51">
      <c r="A238" s="1627">
        <v>287605</v>
      </c>
      <c r="B238" s="1628">
        <v>100.11</v>
      </c>
      <c r="C238" s="1632" t="s">
        <v>540</v>
      </c>
      <c r="D238" s="1479"/>
      <c r="E238" s="1473">
        <v>-266133</v>
      </c>
      <c r="F238" s="1473">
        <f t="shared" si="12"/>
        <v>-266133</v>
      </c>
      <c r="G238" s="1473">
        <v>0</v>
      </c>
      <c r="H238" s="1473">
        <v>0</v>
      </c>
      <c r="I238" s="1473">
        <v>0</v>
      </c>
      <c r="J238" s="1631" t="s">
        <v>541</v>
      </c>
    </row>
    <row r="239" spans="1:10" ht="25.5">
      <c r="A239" s="1627">
        <v>287605</v>
      </c>
      <c r="B239" s="1628">
        <v>105.16</v>
      </c>
      <c r="C239" s="1632" t="s">
        <v>542</v>
      </c>
      <c r="D239" s="1479"/>
      <c r="E239" s="1473">
        <v>3711120</v>
      </c>
      <c r="F239" s="1473">
        <v>0</v>
      </c>
      <c r="G239" s="1473">
        <v>0</v>
      </c>
      <c r="H239" s="1473">
        <v>0</v>
      </c>
      <c r="I239" s="1473">
        <f>E239</f>
        <v>3711120</v>
      </c>
      <c r="J239" s="1474" t="s">
        <v>543</v>
      </c>
    </row>
    <row r="240" spans="1:10" ht="25.5">
      <c r="A240" s="1627">
        <v>287605</v>
      </c>
      <c r="B240" s="1628">
        <v>105.16</v>
      </c>
      <c r="C240" s="1632" t="s">
        <v>544</v>
      </c>
      <c r="D240" s="1479"/>
      <c r="E240" s="1473">
        <v>169832</v>
      </c>
      <c r="F240" s="1473">
        <v>0</v>
      </c>
      <c r="G240" s="1473">
        <f>+E240</f>
        <v>169832</v>
      </c>
      <c r="H240" s="1473">
        <v>0</v>
      </c>
      <c r="I240" s="1473">
        <v>0</v>
      </c>
      <c r="J240" s="1474" t="s">
        <v>543</v>
      </c>
    </row>
    <row r="241" spans="1:10" ht="25.5">
      <c r="A241" s="1627">
        <v>287605</v>
      </c>
      <c r="B241" s="1628">
        <v>105.131</v>
      </c>
      <c r="C241" s="1632" t="s">
        <v>545</v>
      </c>
      <c r="D241" s="1479"/>
      <c r="E241" s="1473">
        <v>122977940</v>
      </c>
      <c r="F241" s="1473">
        <f t="shared" si="12"/>
        <v>122977940</v>
      </c>
      <c r="G241" s="1473">
        <v>0</v>
      </c>
      <c r="H241" s="1473">
        <v>0</v>
      </c>
      <c r="I241" s="1473">
        <v>0</v>
      </c>
      <c r="J241" s="1631" t="s">
        <v>546</v>
      </c>
    </row>
    <row r="242" spans="1:10" ht="38.25">
      <c r="A242" s="1627">
        <v>287605</v>
      </c>
      <c r="B242" s="1628">
        <v>105.14</v>
      </c>
      <c r="C242" s="1632" t="s">
        <v>547</v>
      </c>
      <c r="D242" s="1479"/>
      <c r="E242" s="1473">
        <v>25576951</v>
      </c>
      <c r="F242" s="1473">
        <f t="shared" si="12"/>
        <v>25576951</v>
      </c>
      <c r="G242" s="1473">
        <v>0</v>
      </c>
      <c r="H242" s="1473">
        <v>0</v>
      </c>
      <c r="I242" s="1473">
        <v>0</v>
      </c>
      <c r="J242" s="1631" t="s">
        <v>548</v>
      </c>
    </row>
    <row r="243" spans="1:10" ht="38.25">
      <c r="A243" s="1627">
        <v>287605</v>
      </c>
      <c r="B243" s="1628">
        <v>105.122</v>
      </c>
      <c r="C243" s="1632" t="s">
        <v>549</v>
      </c>
      <c r="D243" s="1479"/>
      <c r="E243" s="1473">
        <v>-591871391</v>
      </c>
      <c r="F243" s="1473">
        <f t="shared" si="12"/>
        <v>-591871391</v>
      </c>
      <c r="G243" s="1473">
        <v>0</v>
      </c>
      <c r="H243" s="1473">
        <v>0</v>
      </c>
      <c r="I243" s="1473">
        <v>0</v>
      </c>
      <c r="J243" s="1631" t="s">
        <v>550</v>
      </c>
    </row>
    <row r="244" spans="1:10" ht="25.5">
      <c r="A244" s="1627">
        <v>287221</v>
      </c>
      <c r="B244" s="1628">
        <v>415.93299999999999</v>
      </c>
      <c r="C244" s="1632" t="s">
        <v>1975</v>
      </c>
      <c r="D244" s="1479"/>
      <c r="E244" s="1473">
        <v>1066299</v>
      </c>
      <c r="F244" s="1473">
        <f t="shared" si="12"/>
        <v>1066299</v>
      </c>
      <c r="G244" s="1473">
        <v>0</v>
      </c>
      <c r="H244" s="1473">
        <v>0</v>
      </c>
      <c r="I244" s="1473">
        <v>0</v>
      </c>
      <c r="J244" s="1631" t="s">
        <v>2056</v>
      </c>
    </row>
    <row r="245" spans="1:10" ht="25.5">
      <c r="A245" s="1627">
        <v>287222</v>
      </c>
      <c r="B245" s="1628">
        <v>415.93400000000003</v>
      </c>
      <c r="C245" s="1632" t="s">
        <v>1976</v>
      </c>
      <c r="D245" s="1479"/>
      <c r="E245" s="1473">
        <v>12578723</v>
      </c>
      <c r="F245" s="1473">
        <f t="shared" si="12"/>
        <v>12578723</v>
      </c>
      <c r="G245" s="1473">
        <v>0</v>
      </c>
      <c r="H245" s="1473">
        <v>0</v>
      </c>
      <c r="I245" s="1473">
        <v>0</v>
      </c>
      <c r="J245" s="1631" t="s">
        <v>2057</v>
      </c>
    </row>
    <row r="246" spans="1:10" ht="25.5">
      <c r="A246" s="1627">
        <v>287223</v>
      </c>
      <c r="B246" s="1628">
        <v>415.935</v>
      </c>
      <c r="C246" s="1632" t="s">
        <v>1977</v>
      </c>
      <c r="D246" s="1479"/>
      <c r="E246" s="1473">
        <v>3484438</v>
      </c>
      <c r="F246" s="1473">
        <f t="shared" si="12"/>
        <v>3484438</v>
      </c>
      <c r="G246" s="1473">
        <v>0</v>
      </c>
      <c r="H246" s="1473">
        <v>0</v>
      </c>
      <c r="I246" s="1473">
        <v>0</v>
      </c>
      <c r="J246" s="1631" t="s">
        <v>2058</v>
      </c>
    </row>
    <row r="247" spans="1:10" ht="38.25">
      <c r="A247" s="1627">
        <v>287057</v>
      </c>
      <c r="B247" s="1628">
        <v>100.119</v>
      </c>
      <c r="C247" s="1632" t="s">
        <v>2118</v>
      </c>
      <c r="D247" s="1479"/>
      <c r="E247" s="1473">
        <v>-43461150</v>
      </c>
      <c r="F247" s="1473">
        <f t="shared" si="12"/>
        <v>-43461150</v>
      </c>
      <c r="G247" s="1473"/>
      <c r="H247" s="1473"/>
      <c r="I247" s="1473"/>
      <c r="J247" s="1631" t="s">
        <v>2119</v>
      </c>
    </row>
    <row r="248" spans="1:10" ht="25.5">
      <c r="A248" s="1627">
        <v>287189</v>
      </c>
      <c r="B248" s="1628">
        <v>100.122</v>
      </c>
      <c r="C248" s="1632" t="s">
        <v>660</v>
      </c>
      <c r="D248" s="1479"/>
      <c r="E248" s="1473">
        <v>1355177</v>
      </c>
      <c r="F248" s="1473">
        <f t="shared" si="12"/>
        <v>1355177</v>
      </c>
      <c r="G248" s="1473">
        <v>0</v>
      </c>
      <c r="H248" s="1473">
        <v>0</v>
      </c>
      <c r="I248" s="1473">
        <v>0</v>
      </c>
      <c r="J248" s="1631" t="s">
        <v>1978</v>
      </c>
    </row>
    <row r="249" spans="1:10" ht="38.25" customHeight="1">
      <c r="A249" s="1627">
        <v>287187</v>
      </c>
      <c r="B249" s="1628">
        <v>100.121</v>
      </c>
      <c r="C249" s="1632" t="s">
        <v>661</v>
      </c>
      <c r="D249" s="1479"/>
      <c r="E249" s="1473">
        <v>-190276645</v>
      </c>
      <c r="F249" s="1473">
        <f t="shared" si="12"/>
        <v>-190276645</v>
      </c>
      <c r="G249" s="1473">
        <v>0</v>
      </c>
      <c r="H249" s="1473">
        <v>0</v>
      </c>
      <c r="I249" s="1473">
        <v>0</v>
      </c>
      <c r="J249" s="1631" t="s">
        <v>1681</v>
      </c>
    </row>
    <row r="250" spans="1:10" ht="12.75">
      <c r="A250" s="1627">
        <v>287313</v>
      </c>
      <c r="B250" s="1628">
        <v>105.45</v>
      </c>
      <c r="C250" s="1632" t="s">
        <v>551</v>
      </c>
      <c r="D250" s="1479"/>
      <c r="E250" s="1473">
        <v>314746086</v>
      </c>
      <c r="F250" s="1473">
        <f t="shared" si="12"/>
        <v>314746086</v>
      </c>
      <c r="G250" s="1473">
        <v>0</v>
      </c>
      <c r="H250" s="1473">
        <v>0</v>
      </c>
      <c r="I250" s="1473">
        <v>0</v>
      </c>
      <c r="J250" s="1631" t="s">
        <v>495</v>
      </c>
    </row>
    <row r="251" spans="1:10" ht="25.5">
      <c r="A251" s="1627">
        <v>286915</v>
      </c>
      <c r="B251" s="1628">
        <v>425.15499999999997</v>
      </c>
      <c r="C251" s="1632" t="s">
        <v>1685</v>
      </c>
      <c r="D251" s="1479"/>
      <c r="E251" s="1473">
        <v>-2906758</v>
      </c>
      <c r="F251" s="1473">
        <f>E251</f>
        <v>-2906758</v>
      </c>
      <c r="G251" s="1473">
        <v>0</v>
      </c>
      <c r="H251" s="1473">
        <v>0</v>
      </c>
      <c r="I251" s="1473">
        <v>0</v>
      </c>
      <c r="J251" s="1631" t="s">
        <v>1686</v>
      </c>
    </row>
    <row r="252" spans="1:10" ht="63.75">
      <c r="A252" s="1627">
        <v>287605</v>
      </c>
      <c r="B252" s="1628">
        <v>105.123</v>
      </c>
      <c r="C252" s="1632" t="s">
        <v>552</v>
      </c>
      <c r="D252" s="1479"/>
      <c r="E252" s="1473">
        <v>-157570922</v>
      </c>
      <c r="F252" s="1473">
        <f t="shared" si="12"/>
        <v>-157570922</v>
      </c>
      <c r="G252" s="1473">
        <v>0</v>
      </c>
      <c r="H252" s="1473">
        <v>0</v>
      </c>
      <c r="I252" s="1473">
        <v>0</v>
      </c>
      <c r="J252" s="1631" t="s">
        <v>553</v>
      </c>
    </row>
    <row r="253" spans="1:10" ht="38.25">
      <c r="A253" s="1627">
        <v>287605</v>
      </c>
      <c r="B253" s="1628">
        <v>105.116</v>
      </c>
      <c r="C253" s="1632" t="s">
        <v>554</v>
      </c>
      <c r="D253" s="1479"/>
      <c r="E253" s="1473">
        <v>-79619</v>
      </c>
      <c r="F253" s="1473">
        <f t="shared" si="12"/>
        <v>-79619</v>
      </c>
      <c r="G253" s="1473">
        <v>0</v>
      </c>
      <c r="H253" s="1473">
        <v>0</v>
      </c>
      <c r="I253" s="1473">
        <v>0</v>
      </c>
      <c r="J253" s="1631" t="s">
        <v>555</v>
      </c>
    </row>
    <row r="254" spans="1:10" ht="25.5">
      <c r="A254" s="1627">
        <v>287071</v>
      </c>
      <c r="B254" s="1628">
        <v>105.27</v>
      </c>
      <c r="C254" s="1632" t="s">
        <v>2120</v>
      </c>
      <c r="D254" s="1479"/>
      <c r="E254" s="1473">
        <v>-3899818</v>
      </c>
      <c r="F254" s="1473">
        <f>E254-G254</f>
        <v>-3418506</v>
      </c>
      <c r="G254" s="1473">
        <v>-481312</v>
      </c>
      <c r="H254" s="1473"/>
      <c r="I254" s="1473"/>
      <c r="J254" s="1631" t="s">
        <v>2121</v>
      </c>
    </row>
    <row r="255" spans="1:10" ht="25.5">
      <c r="A255" s="1627">
        <v>287072</v>
      </c>
      <c r="B255" s="1628">
        <v>105.271</v>
      </c>
      <c r="C255" s="1632" t="s">
        <v>2122</v>
      </c>
      <c r="D255" s="1479"/>
      <c r="E255" s="1473">
        <v>-1698891</v>
      </c>
      <c r="F255" s="1473">
        <f t="shared" ref="F255:F259" si="13">E255-G255</f>
        <v>-1731281</v>
      </c>
      <c r="G255" s="1473">
        <v>32390</v>
      </c>
      <c r="H255" s="1473"/>
      <c r="I255" s="1473"/>
      <c r="J255" s="1631" t="s">
        <v>2123</v>
      </c>
    </row>
    <row r="256" spans="1:10" ht="25.5">
      <c r="A256" s="1627">
        <v>287073</v>
      </c>
      <c r="B256" s="1628">
        <v>105.27200000000001</v>
      </c>
      <c r="C256" s="1632" t="s">
        <v>2124</v>
      </c>
      <c r="D256" s="1479"/>
      <c r="E256" s="1473">
        <v>12933322</v>
      </c>
      <c r="F256" s="1473">
        <f t="shared" si="13"/>
        <v>5026980</v>
      </c>
      <c r="G256" s="1473">
        <v>7906342</v>
      </c>
      <c r="H256" s="1473"/>
      <c r="I256" s="1473"/>
      <c r="J256" s="1631" t="s">
        <v>2125</v>
      </c>
    </row>
    <row r="257" spans="1:10" ht="25.5">
      <c r="A257" s="1627">
        <v>287074</v>
      </c>
      <c r="B257" s="1628">
        <v>105.273</v>
      </c>
      <c r="C257" s="1632" t="s">
        <v>2126</v>
      </c>
      <c r="D257" s="1479"/>
      <c r="E257" s="1473">
        <v>54679767</v>
      </c>
      <c r="F257" s="1473">
        <f t="shared" si="13"/>
        <v>35878563</v>
      </c>
      <c r="G257" s="1473">
        <v>18801204</v>
      </c>
      <c r="H257" s="1473"/>
      <c r="I257" s="1473"/>
      <c r="J257" s="1631" t="s">
        <v>2127</v>
      </c>
    </row>
    <row r="258" spans="1:10" ht="25.5">
      <c r="A258" s="1627">
        <v>287075</v>
      </c>
      <c r="B258" s="1628">
        <v>105.274</v>
      </c>
      <c r="C258" s="1632" t="s">
        <v>2128</v>
      </c>
      <c r="D258" s="1479"/>
      <c r="E258" s="1473">
        <v>-926855</v>
      </c>
      <c r="F258" s="1473">
        <f t="shared" si="13"/>
        <v>-4173409</v>
      </c>
      <c r="G258" s="1473">
        <v>3246554</v>
      </c>
      <c r="H258" s="1473"/>
      <c r="I258" s="1473"/>
      <c r="J258" s="1631" t="s">
        <v>2129</v>
      </c>
    </row>
    <row r="259" spans="1:10" ht="25.5">
      <c r="A259" s="1627">
        <v>287076</v>
      </c>
      <c r="B259" s="1628">
        <v>105.27500000000001</v>
      </c>
      <c r="C259" s="1632" t="s">
        <v>2130</v>
      </c>
      <c r="D259" s="1479"/>
      <c r="E259" s="1473">
        <v>-17626374</v>
      </c>
      <c r="F259" s="1473">
        <f t="shared" si="13"/>
        <v>-10379109</v>
      </c>
      <c r="G259" s="1473">
        <v>-7247265</v>
      </c>
      <c r="H259" s="1473"/>
      <c r="I259" s="1473"/>
      <c r="J259" s="1631" t="s">
        <v>2131</v>
      </c>
    </row>
    <row r="260" spans="1:10" ht="25.5">
      <c r="A260" s="1627">
        <v>287771</v>
      </c>
      <c r="B260" s="1628">
        <v>110.205</v>
      </c>
      <c r="C260" s="1632" t="s">
        <v>556</v>
      </c>
      <c r="D260" s="1479"/>
      <c r="E260" s="1473">
        <v>53099</v>
      </c>
      <c r="F260" s="1473">
        <f t="shared" si="12"/>
        <v>53099</v>
      </c>
      <c r="G260" s="1473">
        <v>0</v>
      </c>
      <c r="H260" s="1473">
        <v>0</v>
      </c>
      <c r="I260" s="1473">
        <v>0</v>
      </c>
      <c r="J260" s="1631" t="s">
        <v>500</v>
      </c>
    </row>
    <row r="261" spans="1:10" ht="12.75">
      <c r="A261" s="1679"/>
      <c r="B261" s="1679" t="s">
        <v>470</v>
      </c>
      <c r="C261" s="1671"/>
      <c r="D261" s="1688"/>
      <c r="E261" s="1677">
        <v>-4</v>
      </c>
      <c r="F261" s="1677">
        <f t="shared" si="12"/>
        <v>-4</v>
      </c>
      <c r="G261" s="1677">
        <v>0</v>
      </c>
      <c r="H261" s="1677">
        <v>0</v>
      </c>
      <c r="I261" s="1677">
        <v>0</v>
      </c>
      <c r="J261" s="1620"/>
    </row>
    <row r="262" spans="1:10" ht="12.75">
      <c r="A262" s="1690" t="s">
        <v>557</v>
      </c>
      <c r="B262" s="1691"/>
      <c r="C262" s="1637"/>
      <c r="D262" s="1643"/>
      <c r="E262" s="1682">
        <f>SUM(E205:E261)</f>
        <v>-3253177664</v>
      </c>
      <c r="F262" s="1682">
        <f>SUM(F205:F261)</f>
        <v>-2254150838.9899998</v>
      </c>
      <c r="G262" s="1682">
        <f>SUM(G205:G261)</f>
        <v>-847943014</v>
      </c>
      <c r="H262" s="1682">
        <f>SUM(H205:H261)</f>
        <v>19576927</v>
      </c>
      <c r="I262" s="1682">
        <f>SUM(I205:I261)</f>
        <v>-170660738.00999999</v>
      </c>
      <c r="J262" s="1615"/>
    </row>
    <row r="263" spans="1:10" ht="12.75">
      <c r="A263" s="1690" t="s">
        <v>472</v>
      </c>
      <c r="B263" s="1691"/>
      <c r="C263" s="1637"/>
      <c r="D263" s="1643"/>
      <c r="E263" s="1692">
        <f>SUM(E247:E249)</f>
        <v>-232382618</v>
      </c>
      <c r="F263" s="1692">
        <f>SUM(F247:F249)</f>
        <v>-232382618</v>
      </c>
      <c r="G263" s="1692">
        <f>SUM(G247:G249)</f>
        <v>0</v>
      </c>
      <c r="H263" s="1692">
        <f>SUM(H247:H249)+SUM(H254:H259)</f>
        <v>0</v>
      </c>
      <c r="I263" s="1692">
        <f>SUM(I247:I249)+SUM(I254:I259)</f>
        <v>0</v>
      </c>
      <c r="J263" s="1647"/>
    </row>
    <row r="264" spans="1:10" ht="12.75">
      <c r="A264" s="1693" t="s">
        <v>473</v>
      </c>
      <c r="B264" s="1694"/>
      <c r="C264" s="1297"/>
      <c r="D264" s="1695"/>
      <c r="E264" s="1692">
        <v>0</v>
      </c>
      <c r="F264" s="1692">
        <v>0</v>
      </c>
      <c r="G264" s="1692">
        <v>0</v>
      </c>
      <c r="H264" s="1692">
        <v>0</v>
      </c>
      <c r="I264" s="1692">
        <v>0</v>
      </c>
      <c r="J264" s="1647"/>
    </row>
    <row r="265" spans="1:10" ht="12.75">
      <c r="A265" s="1641" t="s">
        <v>111</v>
      </c>
      <c r="B265" s="1642"/>
      <c r="C265" s="1637"/>
      <c r="D265" s="1643"/>
      <c r="E265" s="1682">
        <f>+E262-E263-E264</f>
        <v>-3020795046</v>
      </c>
      <c r="F265" s="1682">
        <f>+F262-F263-F264</f>
        <v>-2021768220.9899998</v>
      </c>
      <c r="G265" s="1682">
        <f>+G262-G263-G264</f>
        <v>-847943014</v>
      </c>
      <c r="H265" s="1682">
        <f>+H262-H263-H264</f>
        <v>19576927</v>
      </c>
      <c r="I265" s="1682">
        <f>+I262-I263-I264</f>
        <v>-170660738.00999999</v>
      </c>
      <c r="J265" s="1647"/>
    </row>
    <row r="266" spans="1:10" ht="12.75">
      <c r="A266" s="320"/>
      <c r="B266" s="320"/>
      <c r="C266" s="332"/>
      <c r="D266" s="376"/>
      <c r="E266" s="376"/>
      <c r="F266" s="376"/>
      <c r="G266" s="1696"/>
      <c r="H266" s="1696"/>
      <c r="I266" s="1466"/>
    </row>
    <row r="267" spans="1:10" ht="12.75">
      <c r="A267" s="320"/>
      <c r="B267" s="320"/>
      <c r="C267" s="1655" t="s">
        <v>558</v>
      </c>
      <c r="D267" s="1297"/>
      <c r="E267" s="1297"/>
      <c r="F267" s="1297"/>
      <c r="G267" s="1684"/>
      <c r="H267" s="1685"/>
      <c r="I267" s="1466"/>
    </row>
    <row r="268" spans="1:10" ht="25.5">
      <c r="A268" s="320"/>
      <c r="B268" s="320"/>
      <c r="C268" s="1842" t="s">
        <v>475</v>
      </c>
      <c r="D268" s="358"/>
      <c r="E268" s="358"/>
      <c r="F268" s="358"/>
      <c r="G268" s="358"/>
      <c r="H268" s="1843"/>
      <c r="I268" s="1466"/>
    </row>
    <row r="269" spans="1:10" ht="12.75">
      <c r="A269" s="320"/>
      <c r="B269" s="320"/>
      <c r="C269" s="1660" t="s">
        <v>476</v>
      </c>
      <c r="G269" s="343"/>
      <c r="H269" s="1686"/>
      <c r="I269" s="1466"/>
    </row>
    <row r="270" spans="1:10" ht="12.75">
      <c r="A270" s="320"/>
      <c r="B270" s="320"/>
      <c r="C270" s="1660" t="s">
        <v>477</v>
      </c>
      <c r="G270" s="343"/>
      <c r="H270" s="1686"/>
      <c r="I270" s="1466"/>
    </row>
    <row r="271" spans="1:10" ht="12.75">
      <c r="A271" s="320"/>
      <c r="B271" s="320"/>
      <c r="C271" s="1660" t="s">
        <v>478</v>
      </c>
      <c r="G271" s="343"/>
      <c r="H271" s="1686"/>
      <c r="I271" s="1466"/>
    </row>
    <row r="272" spans="1:10" ht="12.75">
      <c r="A272" s="320"/>
      <c r="B272" s="320"/>
      <c r="C272" s="1928" t="s">
        <v>479</v>
      </c>
      <c r="D272" s="1926"/>
      <c r="E272" s="1926"/>
      <c r="F272" s="1926"/>
      <c r="G272" s="1926"/>
      <c r="H272" s="1927"/>
      <c r="I272" s="305"/>
    </row>
    <row r="273" spans="1:10" ht="12.75">
      <c r="A273" s="320"/>
      <c r="B273" s="320"/>
      <c r="C273" s="358"/>
      <c r="D273" s="358"/>
      <c r="E273" s="358"/>
      <c r="F273" s="358"/>
      <c r="G273" s="358"/>
      <c r="H273" s="358"/>
      <c r="I273" s="305"/>
    </row>
    <row r="274" spans="1:10" ht="12.75">
      <c r="A274" s="1257" t="s">
        <v>2</v>
      </c>
      <c r="B274" s="1257"/>
      <c r="C274" s="1697"/>
      <c r="D274" s="343"/>
      <c r="E274" s="343"/>
      <c r="F274" s="343"/>
      <c r="G274" s="343"/>
      <c r="H274" s="343"/>
      <c r="I274" s="343"/>
    </row>
    <row r="275" spans="1:10" ht="12.75">
      <c r="A275" s="1668"/>
      <c r="B275" s="1668"/>
      <c r="C275" s="1668"/>
      <c r="D275" s="1668"/>
      <c r="E275" s="1668"/>
      <c r="F275" s="1668"/>
      <c r="G275" s="1668"/>
      <c r="H275" s="1668"/>
      <c r="I275" s="1668"/>
    </row>
    <row r="276" spans="1:10" ht="32.25" customHeight="1">
      <c r="A276" s="1667" t="s">
        <v>480</v>
      </c>
      <c r="B276" s="320"/>
      <c r="C276" s="305"/>
      <c r="H276" s="1609"/>
      <c r="I276" s="1466"/>
    </row>
    <row r="277" spans="1:10" s="1664" customFormat="1" ht="12.75">
      <c r="A277" s="1257" t="s">
        <v>559</v>
      </c>
      <c r="B277" s="320"/>
      <c r="C277" s="305"/>
      <c r="D277" s="305"/>
      <c r="E277" s="305"/>
      <c r="F277" s="305"/>
      <c r="G277" s="305"/>
      <c r="H277" s="1609"/>
      <c r="I277" s="1466"/>
      <c r="J277" s="305"/>
    </row>
    <row r="278" spans="1:10" s="1664" customFormat="1" ht="12.75">
      <c r="A278" s="320"/>
      <c r="B278" s="320"/>
      <c r="C278" s="1610" t="s">
        <v>230</v>
      </c>
      <c r="D278" s="328"/>
      <c r="E278" s="1610" t="s">
        <v>233</v>
      </c>
      <c r="F278" s="1610" t="s">
        <v>235</v>
      </c>
      <c r="G278" s="1610" t="s">
        <v>236</v>
      </c>
      <c r="H278" s="1610" t="s">
        <v>238</v>
      </c>
      <c r="I278" s="1610" t="s">
        <v>240</v>
      </c>
      <c r="J278" s="1610" t="s">
        <v>242</v>
      </c>
    </row>
    <row r="279" spans="1:10" ht="12.75">
      <c r="A279" s="320"/>
      <c r="B279" s="320"/>
      <c r="C279" s="305"/>
      <c r="F279" s="329" t="s">
        <v>357</v>
      </c>
      <c r="H279" s="329"/>
      <c r="I279" s="329"/>
    </row>
    <row r="280" spans="1:10" ht="12.75">
      <c r="A280" s="1257"/>
      <c r="B280" s="320"/>
      <c r="C280" s="332"/>
      <c r="E280" s="329" t="s">
        <v>111</v>
      </c>
      <c r="F280" s="329" t="s">
        <v>358</v>
      </c>
      <c r="G280" s="329" t="s">
        <v>359</v>
      </c>
      <c r="H280" s="329" t="s">
        <v>360</v>
      </c>
      <c r="I280" s="329" t="s">
        <v>361</v>
      </c>
    </row>
    <row r="281" spans="1:10" ht="12.75">
      <c r="A281" s="320"/>
      <c r="B281" s="320"/>
      <c r="C281" s="305"/>
      <c r="E281" s="329"/>
      <c r="F281" s="329" t="s">
        <v>364</v>
      </c>
      <c r="G281" s="329" t="s">
        <v>364</v>
      </c>
      <c r="H281" s="329" t="s">
        <v>364</v>
      </c>
      <c r="I281" s="329" t="s">
        <v>364</v>
      </c>
      <c r="J281" s="329" t="s">
        <v>365</v>
      </c>
    </row>
    <row r="282" spans="1:10" ht="12.75">
      <c r="A282" s="1670" t="s">
        <v>560</v>
      </c>
      <c r="B282" s="1671"/>
      <c r="C282" s="1671"/>
      <c r="D282" s="1698"/>
      <c r="E282" s="1699"/>
      <c r="F282" s="1699"/>
      <c r="G282" s="1699"/>
      <c r="H282" s="1699"/>
      <c r="I282" s="1699"/>
      <c r="J282" s="1675"/>
    </row>
    <row r="283" spans="1:10" ht="12.75">
      <c r="A283" s="1470" t="s">
        <v>561</v>
      </c>
      <c r="B283" s="1700"/>
      <c r="C283" s="1671"/>
      <c r="D283" s="1698"/>
      <c r="E283" s="1699"/>
      <c r="F283" s="1699"/>
      <c r="G283" s="1699"/>
      <c r="H283" s="1699"/>
      <c r="I283" s="1699"/>
      <c r="J283" s="1675"/>
    </row>
    <row r="284" spans="1:10" ht="25.5">
      <c r="A284" s="1627">
        <v>286688</v>
      </c>
      <c r="B284" s="1628">
        <v>320.28699999999998</v>
      </c>
      <c r="C284" s="1632" t="s">
        <v>1979</v>
      </c>
      <c r="D284" s="1479"/>
      <c r="E284" s="1473">
        <v>-495128</v>
      </c>
      <c r="F284" s="1473">
        <f>E284</f>
        <v>-495128</v>
      </c>
      <c r="G284" s="1473">
        <v>0</v>
      </c>
      <c r="H284" s="1473">
        <v>0</v>
      </c>
      <c r="I284" s="1473">
        <v>0</v>
      </c>
      <c r="J284" s="1474" t="s">
        <v>1980</v>
      </c>
    </row>
    <row r="285" spans="1:10" ht="25.5">
      <c r="A285" s="1627">
        <v>286887</v>
      </c>
      <c r="B285" s="1628">
        <v>320.286</v>
      </c>
      <c r="C285" s="1632" t="s">
        <v>1981</v>
      </c>
      <c r="D285" s="1479"/>
      <c r="E285" s="1473">
        <v>-2571757</v>
      </c>
      <c r="F285" s="1473">
        <f>E285</f>
        <v>-2571757</v>
      </c>
      <c r="G285" s="1473">
        <v>0</v>
      </c>
      <c r="H285" s="1473">
        <v>0</v>
      </c>
      <c r="I285" s="1473">
        <v>0</v>
      </c>
      <c r="J285" s="1474" t="s">
        <v>1982</v>
      </c>
    </row>
    <row r="286" spans="1:10" ht="25.5">
      <c r="A286" s="1627">
        <v>286889</v>
      </c>
      <c r="B286" s="1628">
        <v>320.28800000000001</v>
      </c>
      <c r="C286" s="1632" t="s">
        <v>1983</v>
      </c>
      <c r="D286" s="1479"/>
      <c r="E286" s="1473">
        <v>-1187618</v>
      </c>
      <c r="F286" s="1473">
        <f>E286</f>
        <v>-1187618</v>
      </c>
      <c r="G286" s="1473">
        <v>0</v>
      </c>
      <c r="H286" s="1473">
        <v>0</v>
      </c>
      <c r="I286" s="1473">
        <v>0</v>
      </c>
      <c r="J286" s="1474" t="s">
        <v>1984</v>
      </c>
    </row>
    <row r="287" spans="1:10" ht="25.5">
      <c r="A287" s="1627">
        <v>286890</v>
      </c>
      <c r="B287" s="1628">
        <v>415.1</v>
      </c>
      <c r="C287" s="1632" t="s">
        <v>1985</v>
      </c>
      <c r="D287" s="1479"/>
      <c r="E287" s="1473">
        <v>-310426</v>
      </c>
      <c r="F287" s="1473">
        <f>E287</f>
        <v>-310426</v>
      </c>
      <c r="G287" s="1473">
        <v>0</v>
      </c>
      <c r="H287" s="1473">
        <v>0</v>
      </c>
      <c r="I287" s="1473">
        <v>0</v>
      </c>
      <c r="J287" s="1474" t="s">
        <v>1986</v>
      </c>
    </row>
    <row r="288" spans="1:10" ht="25.5">
      <c r="A288" s="1627">
        <v>286891</v>
      </c>
      <c r="B288" s="1628">
        <v>415.94299999999998</v>
      </c>
      <c r="C288" s="1632" t="s">
        <v>1987</v>
      </c>
      <c r="D288" s="1479"/>
      <c r="E288" s="1473">
        <v>-2399625</v>
      </c>
      <c r="F288" s="1473">
        <f t="shared" ref="F288:F298" si="14">+E288</f>
        <v>-2399625</v>
      </c>
      <c r="G288" s="1473">
        <v>0</v>
      </c>
      <c r="H288" s="1473">
        <v>0</v>
      </c>
      <c r="I288" s="1473"/>
      <c r="J288" s="1474" t="s">
        <v>1988</v>
      </c>
    </row>
    <row r="289" spans="1:10" ht="25.5">
      <c r="A289" s="1627">
        <v>286892</v>
      </c>
      <c r="B289" s="1628">
        <v>415.94400000000002</v>
      </c>
      <c r="C289" s="1632" t="s">
        <v>1989</v>
      </c>
      <c r="D289" s="1479"/>
      <c r="E289" s="1473">
        <v>-762510</v>
      </c>
      <c r="F289" s="1473">
        <f t="shared" si="14"/>
        <v>-762510</v>
      </c>
      <c r="G289" s="1473">
        <v>0</v>
      </c>
      <c r="H289" s="1473">
        <v>0</v>
      </c>
      <c r="I289" s="1473"/>
      <c r="J289" s="1474" t="s">
        <v>1990</v>
      </c>
    </row>
    <row r="290" spans="1:10" ht="25.5">
      <c r="A290" s="1627">
        <v>287647</v>
      </c>
      <c r="B290" s="1628">
        <v>425.1</v>
      </c>
      <c r="C290" s="1632" t="s">
        <v>2059</v>
      </c>
      <c r="D290" s="1479"/>
      <c r="E290" s="1473">
        <v>-9835</v>
      </c>
      <c r="F290" s="1473">
        <f>E290</f>
        <v>-9835</v>
      </c>
      <c r="G290" s="1473">
        <v>0</v>
      </c>
      <c r="H290" s="1473"/>
      <c r="I290" s="1473">
        <v>0</v>
      </c>
      <c r="J290" s="1474" t="s">
        <v>2060</v>
      </c>
    </row>
    <row r="291" spans="1:10" ht="25.5">
      <c r="A291" s="1627">
        <v>286893</v>
      </c>
      <c r="B291" s="1628">
        <v>415.755</v>
      </c>
      <c r="C291" s="1632" t="s">
        <v>1991</v>
      </c>
      <c r="D291" s="1479"/>
      <c r="E291" s="1473">
        <v>-63656</v>
      </c>
      <c r="F291" s="1473">
        <f t="shared" si="14"/>
        <v>-63656</v>
      </c>
      <c r="G291" s="1473">
        <v>0</v>
      </c>
      <c r="H291" s="1473">
        <v>0</v>
      </c>
      <c r="I291" s="1473">
        <v>0</v>
      </c>
      <c r="J291" s="1474" t="s">
        <v>1992</v>
      </c>
    </row>
    <row r="292" spans="1:10" ht="31.5" customHeight="1">
      <c r="A292" s="1627">
        <v>286894</v>
      </c>
      <c r="B292" s="1628">
        <v>415.26100000000002</v>
      </c>
      <c r="C292" s="1632" t="s">
        <v>1993</v>
      </c>
      <c r="D292" s="1479"/>
      <c r="E292" s="1473">
        <v>-818444</v>
      </c>
      <c r="F292" s="1473">
        <f t="shared" si="14"/>
        <v>-818444</v>
      </c>
      <c r="G292" s="1473">
        <v>0</v>
      </c>
      <c r="H292" s="1473">
        <v>0</v>
      </c>
      <c r="I292" s="1473">
        <v>0</v>
      </c>
      <c r="J292" s="1474" t="s">
        <v>1994</v>
      </c>
    </row>
    <row r="293" spans="1:10" ht="41.25" customHeight="1">
      <c r="A293" s="1627">
        <v>286895</v>
      </c>
      <c r="B293" s="1628">
        <v>415.262</v>
      </c>
      <c r="C293" s="1632" t="s">
        <v>2061</v>
      </c>
      <c r="D293" s="1479"/>
      <c r="E293" s="1473">
        <v>-17213520</v>
      </c>
      <c r="F293" s="1473">
        <f t="shared" si="14"/>
        <v>-17213520</v>
      </c>
      <c r="G293" s="1473">
        <v>0</v>
      </c>
      <c r="H293" s="1473">
        <v>0</v>
      </c>
      <c r="I293" s="1473">
        <v>0</v>
      </c>
      <c r="J293" s="1474" t="s">
        <v>2062</v>
      </c>
    </row>
    <row r="294" spans="1:10" ht="27.75" customHeight="1">
      <c r="A294" s="1627">
        <v>286943</v>
      </c>
      <c r="B294" s="1628">
        <v>415.26299999999998</v>
      </c>
      <c r="C294" s="1632" t="s">
        <v>2063</v>
      </c>
      <c r="D294" s="1479"/>
      <c r="E294" s="1473">
        <v>-428177</v>
      </c>
      <c r="F294" s="1473">
        <f t="shared" si="14"/>
        <v>-428177</v>
      </c>
      <c r="G294" s="1473">
        <v>0</v>
      </c>
      <c r="H294" s="1473">
        <v>0</v>
      </c>
      <c r="I294" s="1473">
        <v>0</v>
      </c>
      <c r="J294" s="1474" t="s">
        <v>2064</v>
      </c>
    </row>
    <row r="295" spans="1:10" ht="27" customHeight="1">
      <c r="A295" s="1627">
        <v>286946</v>
      </c>
      <c r="B295" s="1628">
        <v>415.26400000000001</v>
      </c>
      <c r="C295" s="1632" t="s">
        <v>2065</v>
      </c>
      <c r="D295" s="1479"/>
      <c r="E295" s="1473">
        <v>-879663</v>
      </c>
      <c r="F295" s="1473">
        <f t="shared" si="14"/>
        <v>-879663</v>
      </c>
      <c r="G295" s="1473">
        <v>0</v>
      </c>
      <c r="H295" s="1473">
        <v>0</v>
      </c>
      <c r="I295" s="1473">
        <v>0</v>
      </c>
      <c r="J295" s="1474" t="s">
        <v>2066</v>
      </c>
    </row>
    <row r="296" spans="1:10" ht="27.75" customHeight="1">
      <c r="A296" s="1627">
        <v>286937</v>
      </c>
      <c r="B296" s="1628">
        <v>415.27</v>
      </c>
      <c r="C296" s="1632" t="s">
        <v>2067</v>
      </c>
      <c r="D296" s="1479"/>
      <c r="E296" s="1473">
        <v>953904</v>
      </c>
      <c r="F296" s="1473">
        <f t="shared" si="14"/>
        <v>953904</v>
      </c>
      <c r="G296" s="1473">
        <v>0</v>
      </c>
      <c r="H296" s="1473">
        <v>0</v>
      </c>
      <c r="I296" s="1473">
        <v>0</v>
      </c>
      <c r="J296" s="1474" t="s">
        <v>2068</v>
      </c>
    </row>
    <row r="297" spans="1:10" ht="25.5">
      <c r="A297" s="1627">
        <v>286896</v>
      </c>
      <c r="B297" s="1628">
        <v>415.73399999999998</v>
      </c>
      <c r="C297" s="1632" t="s">
        <v>1840</v>
      </c>
      <c r="D297" s="1479"/>
      <c r="E297" s="1473">
        <v>-829048</v>
      </c>
      <c r="F297" s="1473">
        <f t="shared" si="14"/>
        <v>-829048</v>
      </c>
      <c r="G297" s="1473">
        <v>0</v>
      </c>
      <c r="H297" s="1473">
        <v>0</v>
      </c>
      <c r="I297" s="1473">
        <v>0</v>
      </c>
      <c r="J297" s="1474" t="s">
        <v>1841</v>
      </c>
    </row>
    <row r="298" spans="1:10" ht="25.5" customHeight="1">
      <c r="A298" s="1627">
        <v>286898</v>
      </c>
      <c r="B298" s="1628">
        <v>415.73599999999999</v>
      </c>
      <c r="C298" s="1632" t="s">
        <v>1842</v>
      </c>
      <c r="D298" s="1479"/>
      <c r="E298" s="1473">
        <v>-7962098</v>
      </c>
      <c r="F298" s="1473">
        <f t="shared" si="14"/>
        <v>-7962098</v>
      </c>
      <c r="G298" s="1473">
        <v>0</v>
      </c>
      <c r="H298" s="1473">
        <v>0</v>
      </c>
      <c r="I298" s="1473">
        <v>0</v>
      </c>
      <c r="J298" s="1474" t="s">
        <v>1843</v>
      </c>
    </row>
    <row r="299" spans="1:10" ht="25.5">
      <c r="A299" s="1627">
        <v>286951</v>
      </c>
      <c r="B299" s="1628">
        <v>415.53300000000002</v>
      </c>
      <c r="C299" s="1632" t="s">
        <v>2132</v>
      </c>
      <c r="D299" s="1479"/>
      <c r="E299" s="1473">
        <v>-4059626</v>
      </c>
      <c r="F299" s="1473">
        <f t="shared" ref="F299:F309" si="15">E299</f>
        <v>-4059626</v>
      </c>
      <c r="G299" s="1473">
        <v>0</v>
      </c>
      <c r="H299" s="1473">
        <v>0</v>
      </c>
      <c r="I299" s="1473">
        <v>0</v>
      </c>
      <c r="J299" s="1619" t="s">
        <v>2133</v>
      </c>
    </row>
    <row r="300" spans="1:10" ht="25.5">
      <c r="A300" s="1627">
        <v>286910</v>
      </c>
      <c r="B300" s="1628">
        <v>415.2</v>
      </c>
      <c r="C300" s="1632" t="s">
        <v>1695</v>
      </c>
      <c r="D300" s="1479"/>
      <c r="E300" s="1473">
        <v>351265</v>
      </c>
      <c r="F300" s="1473">
        <f t="shared" si="15"/>
        <v>351265</v>
      </c>
      <c r="G300" s="1473">
        <v>0</v>
      </c>
      <c r="H300" s="1473">
        <v>0</v>
      </c>
      <c r="I300" s="1473">
        <v>0</v>
      </c>
      <c r="J300" s="1474" t="s">
        <v>1995</v>
      </c>
    </row>
    <row r="301" spans="1:10" ht="25.5">
      <c r="A301" s="1627">
        <v>286935</v>
      </c>
      <c r="B301" s="1628">
        <v>415.25099999999998</v>
      </c>
      <c r="C301" s="1632" t="s">
        <v>2069</v>
      </c>
      <c r="D301" s="1479"/>
      <c r="E301" s="1473">
        <v>230223</v>
      </c>
      <c r="F301" s="1473">
        <f t="shared" si="15"/>
        <v>230223</v>
      </c>
      <c r="G301" s="1473">
        <v>0</v>
      </c>
      <c r="H301" s="1473">
        <v>0</v>
      </c>
      <c r="I301" s="1473">
        <v>0</v>
      </c>
      <c r="J301" s="1474" t="s">
        <v>2070</v>
      </c>
    </row>
    <row r="302" spans="1:10" ht="25.5">
      <c r="A302" s="1627">
        <v>286944</v>
      </c>
      <c r="B302" s="1628">
        <v>415.25200000000001</v>
      </c>
      <c r="C302" s="1632" t="s">
        <v>2071</v>
      </c>
      <c r="D302" s="1479"/>
      <c r="E302" s="1473">
        <v>-542952</v>
      </c>
      <c r="F302" s="1473">
        <f t="shared" si="15"/>
        <v>-542952</v>
      </c>
      <c r="G302" s="1473">
        <v>0</v>
      </c>
      <c r="H302" s="1473">
        <v>0</v>
      </c>
      <c r="I302" s="1473">
        <v>0</v>
      </c>
      <c r="J302" s="1474" t="s">
        <v>2072</v>
      </c>
    </row>
    <row r="303" spans="1:10" ht="25.5">
      <c r="A303" s="1627">
        <v>286911</v>
      </c>
      <c r="B303" s="1628">
        <v>415.43</v>
      </c>
      <c r="C303" s="1632" t="s">
        <v>1569</v>
      </c>
      <c r="D303" s="1479"/>
      <c r="E303" s="1473">
        <v>59703</v>
      </c>
      <c r="F303" s="1473">
        <f t="shared" si="15"/>
        <v>59703</v>
      </c>
      <c r="G303" s="1473">
        <v>0</v>
      </c>
      <c r="H303" s="1473">
        <v>0</v>
      </c>
      <c r="I303" s="1473">
        <v>0</v>
      </c>
      <c r="J303" s="1474" t="s">
        <v>1996</v>
      </c>
    </row>
    <row r="304" spans="1:10" ht="25.5">
      <c r="A304" s="1627">
        <v>286912</v>
      </c>
      <c r="B304" s="1628">
        <v>415.43099999999998</v>
      </c>
      <c r="C304" s="1632" t="s">
        <v>1697</v>
      </c>
      <c r="D304" s="1479"/>
      <c r="E304" s="1473">
        <v>-247881</v>
      </c>
      <c r="F304" s="1473">
        <f t="shared" si="15"/>
        <v>-247881</v>
      </c>
      <c r="G304" s="1473">
        <v>0</v>
      </c>
      <c r="H304" s="1473">
        <v>0</v>
      </c>
      <c r="I304" s="1473">
        <v>0</v>
      </c>
      <c r="J304" s="1474" t="s">
        <v>1997</v>
      </c>
    </row>
    <row r="305" spans="1:10" ht="25.5">
      <c r="A305" s="1627">
        <v>286941</v>
      </c>
      <c r="B305" s="1628">
        <v>415.44</v>
      </c>
      <c r="C305" s="1632" t="s">
        <v>2073</v>
      </c>
      <c r="D305" s="1479"/>
      <c r="E305" s="1473">
        <v>-1834885</v>
      </c>
      <c r="F305" s="1473">
        <f t="shared" si="15"/>
        <v>-1834885</v>
      </c>
      <c r="G305" s="1473">
        <v>0</v>
      </c>
      <c r="H305" s="1473">
        <v>0</v>
      </c>
      <c r="I305" s="1473">
        <v>0</v>
      </c>
      <c r="J305" s="1474" t="s">
        <v>2074</v>
      </c>
    </row>
    <row r="306" spans="1:10" ht="27" customHeight="1">
      <c r="A306" s="1627">
        <v>286942</v>
      </c>
      <c r="B306" s="1628">
        <v>415.44099999999997</v>
      </c>
      <c r="C306" s="1632" t="s">
        <v>2075</v>
      </c>
      <c r="D306" s="1479"/>
      <c r="E306" s="1473">
        <v>-15499</v>
      </c>
      <c r="F306" s="1473">
        <f t="shared" si="15"/>
        <v>-15499</v>
      </c>
      <c r="G306" s="1473">
        <v>0</v>
      </c>
      <c r="H306" s="1473">
        <v>0</v>
      </c>
      <c r="I306" s="1473">
        <v>0</v>
      </c>
      <c r="J306" s="1474" t="s">
        <v>2076</v>
      </c>
    </row>
    <row r="307" spans="1:10" ht="25.5">
      <c r="A307" s="1627">
        <v>287070</v>
      </c>
      <c r="B307" s="1628">
        <v>415.44499999999999</v>
      </c>
      <c r="C307" s="1632" t="s">
        <v>2134</v>
      </c>
      <c r="D307" s="1479"/>
      <c r="E307" s="1473">
        <v>-1163068</v>
      </c>
      <c r="F307" s="1473">
        <f t="shared" si="15"/>
        <v>-1163068</v>
      </c>
      <c r="G307" s="1473">
        <v>0</v>
      </c>
      <c r="H307" s="1473">
        <v>0</v>
      </c>
      <c r="I307" s="1473">
        <v>0</v>
      </c>
      <c r="J307" s="1474" t="s">
        <v>2135</v>
      </c>
    </row>
    <row r="308" spans="1:10" ht="25.5">
      <c r="A308" s="1627">
        <v>286913</v>
      </c>
      <c r="B308" s="1628">
        <v>415.72</v>
      </c>
      <c r="C308" s="1632" t="s">
        <v>1690</v>
      </c>
      <c r="D308" s="1479"/>
      <c r="E308" s="1473">
        <v>-709262</v>
      </c>
      <c r="F308" s="1473">
        <f t="shared" si="15"/>
        <v>-709262</v>
      </c>
      <c r="G308" s="1473">
        <v>0</v>
      </c>
      <c r="H308" s="1473">
        <v>0</v>
      </c>
      <c r="I308" s="1473">
        <v>0</v>
      </c>
      <c r="J308" s="1631" t="s">
        <v>1691</v>
      </c>
    </row>
    <row r="309" spans="1:10" ht="25.5">
      <c r="A309" s="1627">
        <v>286917</v>
      </c>
      <c r="B309" s="1628">
        <v>415.26</v>
      </c>
      <c r="C309" s="1632" t="s">
        <v>1693</v>
      </c>
      <c r="D309" s="1479"/>
      <c r="E309" s="1473">
        <v>-9620043</v>
      </c>
      <c r="F309" s="1473">
        <f t="shared" si="15"/>
        <v>-9620043</v>
      </c>
      <c r="G309" s="1473">
        <v>0</v>
      </c>
      <c r="H309" s="1473">
        <v>0</v>
      </c>
      <c r="I309" s="1473">
        <v>0</v>
      </c>
      <c r="J309" s="1474" t="s">
        <v>1694</v>
      </c>
    </row>
    <row r="310" spans="1:10" ht="25.5">
      <c r="A310" s="1627">
        <v>286920</v>
      </c>
      <c r="B310" s="1628">
        <v>415.72500000000002</v>
      </c>
      <c r="C310" s="1632" t="s">
        <v>1688</v>
      </c>
      <c r="D310" s="1479"/>
      <c r="E310" s="1473">
        <v>-2533306</v>
      </c>
      <c r="F310" s="1473">
        <f t="shared" ref="F310:F317" si="16">+E310</f>
        <v>-2533306</v>
      </c>
      <c r="G310" s="1473">
        <v>0</v>
      </c>
      <c r="H310" s="1473">
        <v>0</v>
      </c>
      <c r="I310" s="1473">
        <v>0</v>
      </c>
      <c r="J310" s="1474" t="s">
        <v>1689</v>
      </c>
    </row>
    <row r="311" spans="1:10" ht="25.5">
      <c r="A311" s="1627">
        <v>286921</v>
      </c>
      <c r="B311" s="1628">
        <v>415.73099999999999</v>
      </c>
      <c r="C311" s="1632" t="s">
        <v>1687</v>
      </c>
      <c r="D311" s="1479"/>
      <c r="E311" s="1473">
        <v>534742</v>
      </c>
      <c r="F311" s="1473">
        <f t="shared" si="16"/>
        <v>534742</v>
      </c>
      <c r="G311" s="1473">
        <v>0</v>
      </c>
      <c r="H311" s="1473">
        <v>0</v>
      </c>
      <c r="I311" s="1473">
        <v>0</v>
      </c>
      <c r="J311" s="1474" t="s">
        <v>1838</v>
      </c>
    </row>
    <row r="312" spans="1:10" ht="25.5">
      <c r="A312" s="1627">
        <v>286925</v>
      </c>
      <c r="B312" s="1628">
        <v>415.72800000000001</v>
      </c>
      <c r="C312" s="1632" t="s">
        <v>1834</v>
      </c>
      <c r="D312" s="1479"/>
      <c r="E312" s="1473">
        <v>-126737</v>
      </c>
      <c r="F312" s="1473">
        <f t="shared" si="16"/>
        <v>-126737</v>
      </c>
      <c r="G312" s="1473">
        <v>0</v>
      </c>
      <c r="H312" s="1473">
        <v>0</v>
      </c>
      <c r="I312" s="1473">
        <v>0</v>
      </c>
      <c r="J312" s="1474" t="s">
        <v>1835</v>
      </c>
    </row>
    <row r="313" spans="1:10" ht="25.5">
      <c r="A313" s="1627">
        <v>286926</v>
      </c>
      <c r="B313" s="1628">
        <v>415.72899999999998</v>
      </c>
      <c r="C313" s="1632" t="s">
        <v>1836</v>
      </c>
      <c r="D313" s="1479"/>
      <c r="E313" s="1473">
        <v>265407</v>
      </c>
      <c r="F313" s="1473">
        <f t="shared" si="16"/>
        <v>265407</v>
      </c>
      <c r="G313" s="1473">
        <v>0</v>
      </c>
      <c r="H313" s="1473">
        <v>0</v>
      </c>
      <c r="I313" s="1473">
        <v>0</v>
      </c>
      <c r="J313" s="1474" t="s">
        <v>1837</v>
      </c>
    </row>
    <row r="314" spans="1:10" ht="12.75">
      <c r="A314" s="1627">
        <v>286928</v>
      </c>
      <c r="B314" s="1628">
        <v>415.83300000000003</v>
      </c>
      <c r="C314" s="1632" t="s">
        <v>1850</v>
      </c>
      <c r="D314" s="1479"/>
      <c r="E314" s="1473">
        <v>-318527</v>
      </c>
      <c r="F314" s="1473">
        <f t="shared" si="16"/>
        <v>-318527</v>
      </c>
      <c r="G314" s="1473">
        <v>0</v>
      </c>
      <c r="H314" s="1473">
        <v>0</v>
      </c>
      <c r="I314" s="1473">
        <v>0</v>
      </c>
      <c r="J314" s="1474" t="s">
        <v>1998</v>
      </c>
    </row>
    <row r="315" spans="1:10" ht="25.5">
      <c r="A315" s="1627">
        <v>286929</v>
      </c>
      <c r="B315" s="1628">
        <v>415.84100000000001</v>
      </c>
      <c r="C315" s="1632" t="s">
        <v>1845</v>
      </c>
      <c r="D315" s="1479"/>
      <c r="E315" s="1473">
        <v>56047</v>
      </c>
      <c r="F315" s="1473">
        <f t="shared" si="16"/>
        <v>56047</v>
      </c>
      <c r="G315" s="1473">
        <v>0</v>
      </c>
      <c r="H315" s="1473">
        <v>0</v>
      </c>
      <c r="I315" s="1473">
        <v>0</v>
      </c>
      <c r="J315" s="1474" t="s">
        <v>1846</v>
      </c>
    </row>
    <row r="316" spans="1:10" ht="25.5">
      <c r="A316" s="1627">
        <v>286930</v>
      </c>
      <c r="B316" s="1628">
        <v>415.42599999999999</v>
      </c>
      <c r="C316" s="1632" t="s">
        <v>1839</v>
      </c>
      <c r="D316" s="1479"/>
      <c r="E316" s="1473">
        <v>-1916860</v>
      </c>
      <c r="F316" s="1473">
        <f t="shared" si="16"/>
        <v>-1916860</v>
      </c>
      <c r="G316" s="1473">
        <v>0</v>
      </c>
      <c r="H316" s="1473">
        <v>0</v>
      </c>
      <c r="I316" s="1473">
        <v>0</v>
      </c>
      <c r="J316" s="1474" t="s">
        <v>1999</v>
      </c>
    </row>
    <row r="317" spans="1:10" ht="14.25" customHeight="1">
      <c r="A317" s="1627">
        <v>286933</v>
      </c>
      <c r="B317" s="1628">
        <v>415.64499999999998</v>
      </c>
      <c r="C317" s="1632" t="s">
        <v>1848</v>
      </c>
      <c r="D317" s="1479"/>
      <c r="E317" s="1473">
        <v>37303</v>
      </c>
      <c r="F317" s="1473">
        <f t="shared" si="16"/>
        <v>37303</v>
      </c>
      <c r="G317" s="1473">
        <v>0</v>
      </c>
      <c r="H317" s="1473">
        <v>0</v>
      </c>
      <c r="I317" s="1473">
        <v>0</v>
      </c>
      <c r="J317" s="1474" t="s">
        <v>1849</v>
      </c>
    </row>
    <row r="318" spans="1:10" ht="25.5">
      <c r="A318" s="1627">
        <v>287975</v>
      </c>
      <c r="B318" s="1628">
        <v>415.65499999999997</v>
      </c>
      <c r="C318" s="1632" t="s">
        <v>1847</v>
      </c>
      <c r="D318" s="1479"/>
      <c r="E318" s="1473">
        <v>-1538298</v>
      </c>
      <c r="F318" s="1473">
        <f t="shared" ref="F318:F377" si="17">E318</f>
        <v>-1538298</v>
      </c>
      <c r="G318" s="1473">
        <v>0</v>
      </c>
      <c r="H318" s="1473">
        <v>0</v>
      </c>
      <c r="I318" s="1473">
        <v>0</v>
      </c>
      <c r="J318" s="1474" t="s">
        <v>2077</v>
      </c>
    </row>
    <row r="319" spans="1:10" ht="38.25">
      <c r="A319" s="1627">
        <v>286936</v>
      </c>
      <c r="B319" s="1628">
        <v>415.255</v>
      </c>
      <c r="C319" s="1632" t="s">
        <v>2000</v>
      </c>
      <c r="D319" s="1479"/>
      <c r="E319" s="1473">
        <v>-50585</v>
      </c>
      <c r="F319" s="1473">
        <f t="shared" si="17"/>
        <v>-50585</v>
      </c>
      <c r="G319" s="1473">
        <v>0</v>
      </c>
      <c r="H319" s="1473">
        <v>0</v>
      </c>
      <c r="I319" s="1473">
        <v>0</v>
      </c>
      <c r="J319" s="1474" t="s">
        <v>2001</v>
      </c>
    </row>
    <row r="320" spans="1:10" ht="25.5">
      <c r="A320" s="1627">
        <v>286938</v>
      </c>
      <c r="B320" s="1628">
        <v>415.64600000000002</v>
      </c>
      <c r="C320" s="1632" t="s">
        <v>2002</v>
      </c>
      <c r="D320" s="1479"/>
      <c r="E320" s="1473">
        <v>-65</v>
      </c>
      <c r="F320" s="1473">
        <f t="shared" si="17"/>
        <v>-65</v>
      </c>
      <c r="G320" s="1473">
        <v>0</v>
      </c>
      <c r="H320" s="1473">
        <v>0</v>
      </c>
      <c r="I320" s="1473">
        <v>0</v>
      </c>
      <c r="J320" s="1474" t="s">
        <v>2003</v>
      </c>
    </row>
    <row r="321" spans="1:10" ht="25.5">
      <c r="A321" s="1627">
        <v>287570</v>
      </c>
      <c r="B321" s="1628">
        <v>415.70100000000002</v>
      </c>
      <c r="C321" s="1632" t="s">
        <v>591</v>
      </c>
      <c r="D321" s="1479"/>
      <c r="E321" s="1473">
        <v>-103406</v>
      </c>
      <c r="F321" s="1473">
        <f t="shared" si="17"/>
        <v>-103406</v>
      </c>
      <c r="G321" s="1473">
        <v>0</v>
      </c>
      <c r="H321" s="1473">
        <v>0</v>
      </c>
      <c r="I321" s="1473">
        <v>0</v>
      </c>
      <c r="J321" s="1474" t="s">
        <v>2004</v>
      </c>
    </row>
    <row r="322" spans="1:10" ht="25.5">
      <c r="A322" s="1627">
        <v>287571</v>
      </c>
      <c r="B322" s="1628">
        <v>415.702</v>
      </c>
      <c r="C322" s="1632" t="s">
        <v>614</v>
      </c>
      <c r="D322" s="1479"/>
      <c r="E322" s="1473">
        <v>-159593</v>
      </c>
      <c r="F322" s="1473">
        <f t="shared" si="17"/>
        <v>-159593</v>
      </c>
      <c r="G322" s="1473">
        <v>0</v>
      </c>
      <c r="H322" s="1473">
        <v>0</v>
      </c>
      <c r="I322" s="1473">
        <v>0</v>
      </c>
      <c r="J322" s="1474" t="s">
        <v>615</v>
      </c>
    </row>
    <row r="323" spans="1:10" ht="25.5">
      <c r="A323" s="1627">
        <v>287573</v>
      </c>
      <c r="B323" s="1628">
        <v>415.87299999999999</v>
      </c>
      <c r="C323" s="1632" t="s">
        <v>2005</v>
      </c>
      <c r="D323" s="1479"/>
      <c r="E323" s="1473">
        <v>-37274181</v>
      </c>
      <c r="F323" s="1473">
        <f t="shared" si="17"/>
        <v>-37274181</v>
      </c>
      <c r="G323" s="1473">
        <v>0</v>
      </c>
      <c r="H323" s="1473">
        <v>0</v>
      </c>
      <c r="I323" s="1473">
        <v>0</v>
      </c>
      <c r="J323" s="1474" t="s">
        <v>2006</v>
      </c>
    </row>
    <row r="324" spans="1:10" ht="17.25" customHeight="1">
      <c r="A324" s="1627">
        <v>287576</v>
      </c>
      <c r="B324" s="1628">
        <v>430.11</v>
      </c>
      <c r="C324" s="1632" t="s">
        <v>604</v>
      </c>
      <c r="D324" s="1479"/>
      <c r="E324" s="1473">
        <v>-197620</v>
      </c>
      <c r="F324" s="1473">
        <f t="shared" si="17"/>
        <v>-197620</v>
      </c>
      <c r="G324" s="1473">
        <v>0</v>
      </c>
      <c r="H324" s="1473">
        <v>0</v>
      </c>
      <c r="I324" s="1473">
        <v>0</v>
      </c>
      <c r="J324" s="1474" t="s">
        <v>1659</v>
      </c>
    </row>
    <row r="325" spans="1:10" ht="12.75">
      <c r="A325" s="1627">
        <v>287583</v>
      </c>
      <c r="B325" s="1628">
        <v>415.82600000000002</v>
      </c>
      <c r="C325" s="1632" t="s">
        <v>1696</v>
      </c>
      <c r="D325" s="1479"/>
      <c r="E325" s="1473">
        <v>-992079</v>
      </c>
      <c r="F325" s="1473">
        <f t="shared" si="17"/>
        <v>-992079</v>
      </c>
      <c r="G325" s="1473">
        <v>0</v>
      </c>
      <c r="H325" s="1473">
        <v>0</v>
      </c>
      <c r="I325" s="1473">
        <v>0</v>
      </c>
      <c r="J325" s="1474" t="s">
        <v>2007</v>
      </c>
    </row>
    <row r="326" spans="1:10" ht="27.75" customHeight="1">
      <c r="A326" s="1627">
        <v>287590</v>
      </c>
      <c r="B326" s="1628">
        <v>415.84</v>
      </c>
      <c r="C326" s="1632" t="s">
        <v>1844</v>
      </c>
      <c r="D326" s="1479"/>
      <c r="E326" s="1473">
        <v>-31186</v>
      </c>
      <c r="F326" s="1473">
        <f t="shared" si="17"/>
        <v>-31186</v>
      </c>
      <c r="G326" s="1473">
        <v>0</v>
      </c>
      <c r="H326" s="1473">
        <v>0</v>
      </c>
      <c r="I326" s="1473">
        <v>0</v>
      </c>
      <c r="J326" s="1474" t="s">
        <v>2008</v>
      </c>
    </row>
    <row r="327" spans="1:10" ht="25.5">
      <c r="A327" s="1627">
        <v>287591</v>
      </c>
      <c r="B327" s="1628">
        <v>415.30099999999999</v>
      </c>
      <c r="C327" s="1632" t="s">
        <v>608</v>
      </c>
      <c r="D327" s="1479"/>
      <c r="E327" s="1473">
        <v>1033332</v>
      </c>
      <c r="F327" s="1473">
        <f t="shared" si="17"/>
        <v>1033332</v>
      </c>
      <c r="G327" s="1473">
        <v>0</v>
      </c>
      <c r="H327" s="1473">
        <v>0</v>
      </c>
      <c r="I327" s="1473">
        <v>0</v>
      </c>
      <c r="J327" s="1474" t="s">
        <v>609</v>
      </c>
    </row>
    <row r="328" spans="1:10" ht="25.5">
      <c r="A328" s="1627">
        <v>286949</v>
      </c>
      <c r="B328" s="1628">
        <v>415.30500000000001</v>
      </c>
      <c r="C328" s="1632" t="s">
        <v>2078</v>
      </c>
      <c r="D328" s="1479"/>
      <c r="E328" s="1473">
        <v>-36963</v>
      </c>
      <c r="F328" s="1473">
        <f t="shared" si="17"/>
        <v>-36963</v>
      </c>
      <c r="G328" s="1473"/>
      <c r="H328" s="1473"/>
      <c r="I328" s="1473"/>
      <c r="J328" s="1474" t="s">
        <v>2079</v>
      </c>
    </row>
    <row r="329" spans="1:10" ht="25.5">
      <c r="A329" s="1627">
        <v>287593</v>
      </c>
      <c r="B329" s="1628">
        <v>415.87400000000002</v>
      </c>
      <c r="C329" s="1632" t="s">
        <v>588</v>
      </c>
      <c r="D329" s="1479"/>
      <c r="E329" s="1473">
        <v>-37086640</v>
      </c>
      <c r="F329" s="1473">
        <f t="shared" si="17"/>
        <v>-37086640</v>
      </c>
      <c r="G329" s="1473">
        <v>0</v>
      </c>
      <c r="H329" s="1473">
        <v>0</v>
      </c>
      <c r="I329" s="1473">
        <v>0</v>
      </c>
      <c r="J329" s="1474" t="s">
        <v>2009</v>
      </c>
    </row>
    <row r="330" spans="1:10" ht="25.5">
      <c r="A330" s="1627">
        <v>287596</v>
      </c>
      <c r="B330" s="1628">
        <v>415.892</v>
      </c>
      <c r="C330" s="1632" t="s">
        <v>586</v>
      </c>
      <c r="D330" s="1479"/>
      <c r="E330" s="1473">
        <v>-17392274</v>
      </c>
      <c r="F330" s="1473">
        <f t="shared" si="17"/>
        <v>-17392274</v>
      </c>
      <c r="G330" s="1473">
        <v>0</v>
      </c>
      <c r="H330" s="1473">
        <v>0</v>
      </c>
      <c r="I330" s="1473">
        <v>0</v>
      </c>
      <c r="J330" s="1474" t="s">
        <v>2010</v>
      </c>
    </row>
    <row r="331" spans="1:10" ht="38.25">
      <c r="A331" s="1627">
        <v>287978</v>
      </c>
      <c r="B331" s="1628">
        <v>415.90600000000001</v>
      </c>
      <c r="C331" s="1632" t="s">
        <v>2136</v>
      </c>
      <c r="D331" s="1479"/>
      <c r="E331" s="1473">
        <v>-35548</v>
      </c>
      <c r="F331" s="1473">
        <f t="shared" si="17"/>
        <v>-35548</v>
      </c>
      <c r="G331" s="1473">
        <v>0</v>
      </c>
      <c r="H331" s="1473">
        <v>0</v>
      </c>
      <c r="I331" s="1473">
        <v>0</v>
      </c>
      <c r="J331" s="1474" t="s">
        <v>2137</v>
      </c>
    </row>
    <row r="332" spans="1:10" ht="25.5">
      <c r="A332" s="1627">
        <v>287597</v>
      </c>
      <c r="B332" s="1628">
        <v>415.70299999999997</v>
      </c>
      <c r="C332" s="1632" t="s">
        <v>612</v>
      </c>
      <c r="D332" s="1479"/>
      <c r="E332" s="1473">
        <v>-52246</v>
      </c>
      <c r="F332" s="1473">
        <f t="shared" si="17"/>
        <v>-52246</v>
      </c>
      <c r="G332" s="1473">
        <v>0</v>
      </c>
      <c r="H332" s="1473">
        <v>0</v>
      </c>
      <c r="I332" s="1473">
        <v>0</v>
      </c>
      <c r="J332" s="1474" t="s">
        <v>613</v>
      </c>
    </row>
    <row r="333" spans="1:10" ht="12.75">
      <c r="A333" s="1627">
        <v>287601</v>
      </c>
      <c r="B333" s="1628">
        <v>415.67700000000002</v>
      </c>
      <c r="C333" s="1632" t="s">
        <v>626</v>
      </c>
      <c r="D333" s="1479"/>
      <c r="E333" s="1473">
        <v>-546</v>
      </c>
      <c r="F333" s="1473">
        <f t="shared" si="17"/>
        <v>-546</v>
      </c>
      <c r="G333" s="1473">
        <v>0</v>
      </c>
      <c r="H333" s="1473">
        <v>0</v>
      </c>
      <c r="I333" s="1473">
        <v>0</v>
      </c>
      <c r="J333" s="1631" t="s">
        <v>2011</v>
      </c>
    </row>
    <row r="334" spans="1:10" ht="27" customHeight="1">
      <c r="A334" s="1627">
        <v>287614</v>
      </c>
      <c r="B334" s="1628">
        <v>430.1</v>
      </c>
      <c r="C334" s="1632" t="s">
        <v>597</v>
      </c>
      <c r="D334" s="1479"/>
      <c r="E334" s="1473">
        <v>-60105382</v>
      </c>
      <c r="F334" s="1473">
        <f t="shared" si="17"/>
        <v>-60105382</v>
      </c>
      <c r="G334" s="1473">
        <v>0</v>
      </c>
      <c r="H334" s="1473">
        <v>0</v>
      </c>
      <c r="I334" s="1473">
        <v>0</v>
      </c>
      <c r="J334" s="1474" t="s">
        <v>598</v>
      </c>
    </row>
    <row r="335" spans="1:10" ht="25.5">
      <c r="A335" s="1627">
        <v>287634</v>
      </c>
      <c r="B335" s="1628">
        <v>415.3</v>
      </c>
      <c r="C335" s="1632" t="s">
        <v>606</v>
      </c>
      <c r="D335" s="1479"/>
      <c r="E335" s="1473">
        <v>-35269669</v>
      </c>
      <c r="F335" s="1473">
        <f t="shared" si="17"/>
        <v>-35269669</v>
      </c>
      <c r="G335" s="1473">
        <v>0</v>
      </c>
      <c r="H335" s="1473">
        <v>0</v>
      </c>
      <c r="I335" s="1473">
        <v>0</v>
      </c>
      <c r="J335" s="1474" t="s">
        <v>607</v>
      </c>
    </row>
    <row r="336" spans="1:10" ht="25.5">
      <c r="A336" s="1627">
        <v>287640</v>
      </c>
      <c r="B336" s="1628">
        <v>415.68</v>
      </c>
      <c r="C336" s="1632" t="s">
        <v>592</v>
      </c>
      <c r="D336" s="1479"/>
      <c r="E336" s="1473">
        <v>-660970</v>
      </c>
      <c r="F336" s="1473">
        <f t="shared" si="17"/>
        <v>-660970</v>
      </c>
      <c r="G336" s="1473">
        <v>0</v>
      </c>
      <c r="H336" s="1473">
        <v>0</v>
      </c>
      <c r="I336" s="1473">
        <v>0</v>
      </c>
      <c r="J336" s="1631" t="s">
        <v>2012</v>
      </c>
    </row>
    <row r="337" spans="1:10" ht="25.5">
      <c r="A337" s="1627">
        <v>286948</v>
      </c>
      <c r="B337" s="1628">
        <v>415.68099999999998</v>
      </c>
      <c r="C337" s="1632" t="s">
        <v>2138</v>
      </c>
      <c r="D337" s="1479"/>
      <c r="E337" s="1473">
        <v>-73760</v>
      </c>
      <c r="F337" s="1473">
        <f t="shared" si="17"/>
        <v>-73760</v>
      </c>
      <c r="G337" s="1473">
        <v>0</v>
      </c>
      <c r="H337" s="1473">
        <v>0</v>
      </c>
      <c r="I337" s="1473"/>
      <c r="J337" s="1631" t="s">
        <v>2139</v>
      </c>
    </row>
    <row r="338" spans="1:10" ht="25.5">
      <c r="A338" s="1627">
        <v>287642</v>
      </c>
      <c r="B338" s="1628">
        <v>105.401</v>
      </c>
      <c r="C338" s="1632" t="s">
        <v>578</v>
      </c>
      <c r="D338" s="1479"/>
      <c r="E338" s="1473">
        <v>-73292878</v>
      </c>
      <c r="F338" s="1473">
        <f t="shared" si="17"/>
        <v>-73292878</v>
      </c>
      <c r="G338" s="1473">
        <v>0</v>
      </c>
      <c r="H338" s="1473">
        <v>0</v>
      </c>
      <c r="I338" s="1473">
        <v>0</v>
      </c>
      <c r="J338" s="1631" t="s">
        <v>579</v>
      </c>
    </row>
    <row r="339" spans="1:10" ht="25.5">
      <c r="A339" s="1627">
        <v>287675</v>
      </c>
      <c r="B339" s="1628">
        <v>740.1</v>
      </c>
      <c r="C339" s="1632" t="s">
        <v>622</v>
      </c>
      <c r="D339" s="1479"/>
      <c r="E339" s="1473">
        <v>-491194</v>
      </c>
      <c r="F339" s="1473">
        <f t="shared" si="17"/>
        <v>-491194</v>
      </c>
      <c r="G339" s="1473">
        <v>0</v>
      </c>
      <c r="H339" s="1473">
        <v>0</v>
      </c>
      <c r="I339" s="1473">
        <v>0</v>
      </c>
      <c r="J339" s="1631" t="s">
        <v>623</v>
      </c>
    </row>
    <row r="340" spans="1:10" ht="14.25" customHeight="1">
      <c r="A340" s="1627">
        <v>287738</v>
      </c>
      <c r="B340" s="1628">
        <v>320.27</v>
      </c>
      <c r="C340" s="1632" t="s">
        <v>610</v>
      </c>
      <c r="D340" s="1479"/>
      <c r="E340" s="1473">
        <v>-62951760</v>
      </c>
      <c r="F340" s="1473">
        <f t="shared" si="17"/>
        <v>-62951760</v>
      </c>
      <c r="G340" s="1473">
        <v>0</v>
      </c>
      <c r="H340" s="1473">
        <v>0</v>
      </c>
      <c r="I340" s="1473">
        <v>0</v>
      </c>
      <c r="J340" s="1474" t="s">
        <v>611</v>
      </c>
    </row>
    <row r="341" spans="1:10" ht="25.5">
      <c r="A341" s="1627">
        <v>287781</v>
      </c>
      <c r="B341" s="1628">
        <v>415.87</v>
      </c>
      <c r="C341" s="1632" t="s">
        <v>585</v>
      </c>
      <c r="D341" s="1479"/>
      <c r="E341" s="1473">
        <v>-4710054</v>
      </c>
      <c r="F341" s="1473">
        <f t="shared" si="17"/>
        <v>-4710054</v>
      </c>
      <c r="G341" s="1473">
        <v>0</v>
      </c>
      <c r="H341" s="1473">
        <v>0</v>
      </c>
      <c r="I341" s="1473">
        <v>0</v>
      </c>
      <c r="J341" s="1474" t="s">
        <v>2013</v>
      </c>
    </row>
    <row r="342" spans="1:10" ht="27" customHeight="1">
      <c r="A342" s="1627">
        <v>287783</v>
      </c>
      <c r="B342" s="1628">
        <v>415.88</v>
      </c>
      <c r="C342" s="1632" t="s">
        <v>589</v>
      </c>
      <c r="D342" s="1479"/>
      <c r="E342" s="1473">
        <v>17850</v>
      </c>
      <c r="F342" s="1473">
        <f t="shared" si="17"/>
        <v>17850</v>
      </c>
      <c r="G342" s="1473">
        <v>0</v>
      </c>
      <c r="H342" s="1473">
        <v>0</v>
      </c>
      <c r="I342" s="1473">
        <v>0</v>
      </c>
      <c r="J342" s="1631" t="s">
        <v>590</v>
      </c>
    </row>
    <row r="343" spans="1:10" ht="50.25" customHeight="1">
      <c r="A343" s="1627">
        <v>287887</v>
      </c>
      <c r="B343" s="1628">
        <v>415.88099999999997</v>
      </c>
      <c r="C343" s="1632" t="s">
        <v>2140</v>
      </c>
      <c r="D343" s="1479"/>
      <c r="E343" s="1473">
        <v>-364906</v>
      </c>
      <c r="F343" s="1473">
        <f t="shared" si="17"/>
        <v>-364906</v>
      </c>
      <c r="G343" s="1473">
        <v>0</v>
      </c>
      <c r="H343" s="1473">
        <v>0</v>
      </c>
      <c r="I343" s="1473">
        <v>0</v>
      </c>
      <c r="J343" s="1631" t="s">
        <v>2141</v>
      </c>
    </row>
    <row r="344" spans="1:10" ht="25.5">
      <c r="A344" s="1627">
        <v>287840</v>
      </c>
      <c r="B344" s="1628">
        <v>415.41</v>
      </c>
      <c r="C344" s="1632" t="s">
        <v>605</v>
      </c>
      <c r="D344" s="1479"/>
      <c r="E344" s="1473">
        <v>-39417361</v>
      </c>
      <c r="F344" s="1473">
        <f t="shared" si="17"/>
        <v>-39417361</v>
      </c>
      <c r="G344" s="1473">
        <v>0</v>
      </c>
      <c r="H344" s="1473">
        <v>0</v>
      </c>
      <c r="I344" s="1473">
        <v>0</v>
      </c>
      <c r="J344" s="1474" t="s">
        <v>2014</v>
      </c>
    </row>
    <row r="345" spans="1:10" ht="12.75">
      <c r="A345" s="1627">
        <v>287841</v>
      </c>
      <c r="B345" s="1628">
        <v>415.411</v>
      </c>
      <c r="C345" s="1632" t="s">
        <v>564</v>
      </c>
      <c r="D345" s="1479"/>
      <c r="E345" s="1473">
        <v>315626</v>
      </c>
      <c r="F345" s="1473">
        <f t="shared" si="17"/>
        <v>315626</v>
      </c>
      <c r="G345" s="1473">
        <v>0</v>
      </c>
      <c r="H345" s="1473">
        <v>0</v>
      </c>
      <c r="I345" s="1473">
        <v>0</v>
      </c>
      <c r="J345" s="1474" t="s">
        <v>565</v>
      </c>
    </row>
    <row r="346" spans="1:10" ht="12.75">
      <c r="A346" s="1627">
        <v>287842</v>
      </c>
      <c r="B346" s="1628">
        <v>415.41199999999998</v>
      </c>
      <c r="C346" s="1632" t="s">
        <v>566</v>
      </c>
      <c r="D346" s="1479"/>
      <c r="E346" s="1473">
        <v>234693</v>
      </c>
      <c r="F346" s="1473">
        <f t="shared" si="17"/>
        <v>234693</v>
      </c>
      <c r="G346" s="1473">
        <v>0</v>
      </c>
      <c r="H346" s="1473">
        <v>0</v>
      </c>
      <c r="I346" s="1473">
        <v>0</v>
      </c>
      <c r="J346" s="1474" t="s">
        <v>567</v>
      </c>
    </row>
    <row r="347" spans="1:10" ht="12.75">
      <c r="A347" s="1627">
        <v>287843</v>
      </c>
      <c r="B347" s="1628">
        <v>415.41300000000001</v>
      </c>
      <c r="C347" s="1632" t="s">
        <v>568</v>
      </c>
      <c r="D347" s="1479"/>
      <c r="E347" s="1473">
        <v>150542</v>
      </c>
      <c r="F347" s="1473">
        <f t="shared" si="17"/>
        <v>150542</v>
      </c>
      <c r="G347" s="1473">
        <v>0</v>
      </c>
      <c r="H347" s="1473">
        <v>0</v>
      </c>
      <c r="I347" s="1473">
        <v>0</v>
      </c>
      <c r="J347" s="1474" t="s">
        <v>569</v>
      </c>
    </row>
    <row r="348" spans="1:10" ht="12.75">
      <c r="A348" s="1627">
        <v>287845</v>
      </c>
      <c r="B348" s="1628">
        <v>415.41500000000002</v>
      </c>
      <c r="C348" s="1632" t="s">
        <v>570</v>
      </c>
      <c r="D348" s="1479"/>
      <c r="E348" s="1473">
        <v>1053113</v>
      </c>
      <c r="F348" s="1473">
        <f t="shared" si="17"/>
        <v>1053113</v>
      </c>
      <c r="G348" s="1473">
        <v>0</v>
      </c>
      <c r="H348" s="1473">
        <v>0</v>
      </c>
      <c r="I348" s="1473">
        <v>0</v>
      </c>
      <c r="J348" s="1474" t="s">
        <v>571</v>
      </c>
    </row>
    <row r="349" spans="1:10" ht="12.75">
      <c r="A349" s="1627">
        <v>287846</v>
      </c>
      <c r="B349" s="1628">
        <v>415.416</v>
      </c>
      <c r="C349" s="1632" t="s">
        <v>572</v>
      </c>
      <c r="D349" s="1479"/>
      <c r="E349" s="1473">
        <v>890831</v>
      </c>
      <c r="F349" s="1473">
        <f t="shared" si="17"/>
        <v>890831</v>
      </c>
      <c r="G349" s="1473">
        <v>0</v>
      </c>
      <c r="H349" s="1473">
        <v>0</v>
      </c>
      <c r="I349" s="1473">
        <v>0</v>
      </c>
      <c r="J349" s="1474" t="s">
        <v>573</v>
      </c>
    </row>
    <row r="350" spans="1:10" ht="25.5">
      <c r="A350" s="1627">
        <v>287848</v>
      </c>
      <c r="B350" s="1628">
        <v>320.28100000000001</v>
      </c>
      <c r="C350" s="1632" t="s">
        <v>633</v>
      </c>
      <c r="D350" s="1479"/>
      <c r="E350" s="1473">
        <v>-42695</v>
      </c>
      <c r="F350" s="1473">
        <f t="shared" si="17"/>
        <v>-42695</v>
      </c>
      <c r="G350" s="1473">
        <v>0</v>
      </c>
      <c r="H350" s="1473">
        <v>0</v>
      </c>
      <c r="I350" s="1473">
        <v>0</v>
      </c>
      <c r="J350" s="1631" t="s">
        <v>634</v>
      </c>
    </row>
    <row r="351" spans="1:10" ht="12" customHeight="1">
      <c r="A351" s="1627">
        <v>287849</v>
      </c>
      <c r="B351" s="1628">
        <v>415.42399999999998</v>
      </c>
      <c r="C351" s="1632" t="s">
        <v>562</v>
      </c>
      <c r="D351" s="1479"/>
      <c r="E351" s="1473">
        <v>14149124</v>
      </c>
      <c r="F351" s="1473">
        <f t="shared" si="17"/>
        <v>14149124</v>
      </c>
      <c r="G351" s="1473">
        <v>0</v>
      </c>
      <c r="H351" s="1473">
        <v>0</v>
      </c>
      <c r="I351" s="1473">
        <v>0</v>
      </c>
      <c r="J351" s="1631" t="s">
        <v>563</v>
      </c>
    </row>
    <row r="352" spans="1:10" ht="25.5" customHeight="1">
      <c r="A352" s="1627">
        <v>287850</v>
      </c>
      <c r="B352" s="1628">
        <v>415.42500000000001</v>
      </c>
      <c r="C352" s="1632" t="s">
        <v>574</v>
      </c>
      <c r="D352" s="1479"/>
      <c r="E352" s="1473">
        <v>1168493</v>
      </c>
      <c r="F352" s="1473">
        <f t="shared" si="17"/>
        <v>1168493</v>
      </c>
      <c r="G352" s="1473">
        <v>0</v>
      </c>
      <c r="H352" s="1473">
        <v>0</v>
      </c>
      <c r="I352" s="1473">
        <v>0</v>
      </c>
      <c r="J352" s="1474" t="s">
        <v>575</v>
      </c>
    </row>
    <row r="353" spans="1:10" ht="38.25">
      <c r="A353" s="1627">
        <v>287855</v>
      </c>
      <c r="B353" s="1628">
        <v>415.42099999999999</v>
      </c>
      <c r="C353" s="1632" t="s">
        <v>576</v>
      </c>
      <c r="D353" s="1479"/>
      <c r="E353" s="1473">
        <v>1990706</v>
      </c>
      <c r="F353" s="1473">
        <f t="shared" si="17"/>
        <v>1990706</v>
      </c>
      <c r="G353" s="1473">
        <v>0</v>
      </c>
      <c r="H353" s="1473">
        <v>0</v>
      </c>
      <c r="I353" s="1473">
        <v>0</v>
      </c>
      <c r="J353" s="1474" t="s">
        <v>577</v>
      </c>
    </row>
    <row r="354" spans="1:10" ht="12.75">
      <c r="A354" s="1627">
        <v>287858</v>
      </c>
      <c r="B354" s="1628">
        <v>415.67599999999999</v>
      </c>
      <c r="C354" s="1632" t="s">
        <v>624</v>
      </c>
      <c r="D354" s="1479"/>
      <c r="E354" s="1473">
        <v>-1457</v>
      </c>
      <c r="F354" s="1473">
        <f t="shared" si="17"/>
        <v>-1457</v>
      </c>
      <c r="G354" s="1473">
        <v>0</v>
      </c>
      <c r="H354" s="1473">
        <v>0</v>
      </c>
      <c r="I354" s="1473">
        <v>0</v>
      </c>
      <c r="J354" s="1631" t="s">
        <v>2015</v>
      </c>
    </row>
    <row r="355" spans="1:10" ht="28.5" customHeight="1">
      <c r="A355" s="1627">
        <v>287861</v>
      </c>
      <c r="B355" s="1628">
        <v>415.85700000000003</v>
      </c>
      <c r="C355" s="1632" t="s">
        <v>593</v>
      </c>
      <c r="D355" s="1479"/>
      <c r="E355" s="1473">
        <v>-98030</v>
      </c>
      <c r="F355" s="1473">
        <f t="shared" si="17"/>
        <v>-98030</v>
      </c>
      <c r="G355" s="1473">
        <v>0</v>
      </c>
      <c r="H355" s="1473">
        <v>0</v>
      </c>
      <c r="I355" s="1473">
        <v>0</v>
      </c>
      <c r="J355" s="1631" t="s">
        <v>594</v>
      </c>
    </row>
    <row r="356" spans="1:10" ht="25.5">
      <c r="A356" s="1627">
        <v>287868</v>
      </c>
      <c r="B356" s="1628">
        <v>415.858</v>
      </c>
      <c r="C356" s="1632" t="s">
        <v>595</v>
      </c>
      <c r="D356" s="1479"/>
      <c r="E356" s="1473">
        <v>-240084</v>
      </c>
      <c r="F356" s="1473">
        <f t="shared" si="17"/>
        <v>-240084</v>
      </c>
      <c r="G356" s="1473">
        <v>0</v>
      </c>
      <c r="H356" s="1473">
        <v>0</v>
      </c>
      <c r="I356" s="1473">
        <v>0</v>
      </c>
      <c r="J356" s="1631" t="s">
        <v>596</v>
      </c>
    </row>
    <row r="357" spans="1:10" ht="25.5">
      <c r="A357" s="1627">
        <v>287871</v>
      </c>
      <c r="B357" s="1628">
        <v>415.86599999999999</v>
      </c>
      <c r="C357" s="1632" t="s">
        <v>627</v>
      </c>
      <c r="D357" s="1479"/>
      <c r="E357" s="1473">
        <v>-794381</v>
      </c>
      <c r="F357" s="1473">
        <f t="shared" si="17"/>
        <v>-794381</v>
      </c>
      <c r="G357" s="1473">
        <v>0</v>
      </c>
      <c r="H357" s="1473">
        <v>0</v>
      </c>
      <c r="I357" s="1473">
        <v>0</v>
      </c>
      <c r="J357" s="1631" t="s">
        <v>2016</v>
      </c>
    </row>
    <row r="358" spans="1:10" ht="25.5">
      <c r="A358" s="1627">
        <v>287882</v>
      </c>
      <c r="B358" s="1628">
        <v>415.87599999999998</v>
      </c>
      <c r="C358" s="1632" t="s">
        <v>1692</v>
      </c>
      <c r="D358" s="1479"/>
      <c r="E358" s="1473">
        <v>-64840759</v>
      </c>
      <c r="F358" s="1473">
        <f t="shared" si="17"/>
        <v>-64840759</v>
      </c>
      <c r="G358" s="1473">
        <v>0</v>
      </c>
      <c r="H358" s="1473">
        <v>0</v>
      </c>
      <c r="I358" s="1473">
        <v>0</v>
      </c>
      <c r="J358" s="1474" t="s">
        <v>2017</v>
      </c>
    </row>
    <row r="359" spans="1:10" ht="25.5">
      <c r="A359" s="1627">
        <v>287649</v>
      </c>
      <c r="B359" s="1628">
        <v>730.17</v>
      </c>
      <c r="C359" s="1632" t="s">
        <v>2142</v>
      </c>
      <c r="D359" s="1479"/>
      <c r="E359" s="1473">
        <v>-18706464</v>
      </c>
      <c r="F359" s="1473">
        <f t="shared" si="17"/>
        <v>-18706464</v>
      </c>
      <c r="G359" s="1473">
        <v>0</v>
      </c>
      <c r="H359" s="1473">
        <v>0</v>
      </c>
      <c r="I359" s="1473">
        <v>0</v>
      </c>
      <c r="J359" s="1474" t="s">
        <v>2143</v>
      </c>
    </row>
    <row r="360" spans="1:10" ht="28.5" customHeight="1">
      <c r="A360" s="1627">
        <v>287889</v>
      </c>
      <c r="B360" s="1628">
        <v>415.88299999999998</v>
      </c>
      <c r="C360" s="1632" t="s">
        <v>2144</v>
      </c>
      <c r="D360" s="1479"/>
      <c r="E360" s="1473">
        <v>-219182</v>
      </c>
      <c r="F360" s="1473">
        <f t="shared" si="17"/>
        <v>-219182</v>
      </c>
      <c r="G360" s="1473">
        <v>0</v>
      </c>
      <c r="H360" s="1473">
        <v>0</v>
      </c>
      <c r="I360" s="1473">
        <v>0</v>
      </c>
      <c r="J360" s="1631" t="s">
        <v>2018</v>
      </c>
    </row>
    <row r="361" spans="1:10" ht="45.75" customHeight="1">
      <c r="A361" s="1627">
        <v>287977</v>
      </c>
      <c r="B361" s="1628">
        <v>415.88499999999999</v>
      </c>
      <c r="C361" s="1632" t="s">
        <v>2145</v>
      </c>
      <c r="D361" s="1479"/>
      <c r="E361" s="1473">
        <v>-17850</v>
      </c>
      <c r="F361" s="1473">
        <f t="shared" si="17"/>
        <v>-17850</v>
      </c>
      <c r="G361" s="1473">
        <v>0</v>
      </c>
      <c r="H361" s="1473">
        <v>0</v>
      </c>
      <c r="I361" s="1473">
        <v>0</v>
      </c>
      <c r="J361" s="1631" t="s">
        <v>2146</v>
      </c>
    </row>
    <row r="362" spans="1:10" ht="12.75">
      <c r="A362" s="1627">
        <v>287896</v>
      </c>
      <c r="B362" s="1628">
        <v>415.875</v>
      </c>
      <c r="C362" s="1632" t="s">
        <v>587</v>
      </c>
      <c r="D362" s="1479"/>
      <c r="E362" s="1473">
        <v>-113384092</v>
      </c>
      <c r="F362" s="1473">
        <f t="shared" si="17"/>
        <v>-113384092</v>
      </c>
      <c r="G362" s="1473">
        <v>0</v>
      </c>
      <c r="H362" s="1473">
        <v>0</v>
      </c>
      <c r="I362" s="1473">
        <v>0</v>
      </c>
      <c r="J362" s="1474" t="s">
        <v>2080</v>
      </c>
    </row>
    <row r="363" spans="1:10" ht="25.5">
      <c r="A363" s="1627">
        <v>287899</v>
      </c>
      <c r="B363" s="1628">
        <v>415.87799999999999</v>
      </c>
      <c r="C363" s="1632" t="s">
        <v>629</v>
      </c>
      <c r="D363" s="1479"/>
      <c r="E363" s="1473">
        <v>-86053</v>
      </c>
      <c r="F363" s="1473">
        <f t="shared" si="17"/>
        <v>-86053</v>
      </c>
      <c r="G363" s="1473">
        <v>0</v>
      </c>
      <c r="H363" s="1473">
        <v>0</v>
      </c>
      <c r="I363" s="1473">
        <v>0</v>
      </c>
      <c r="J363" s="1631" t="s">
        <v>630</v>
      </c>
    </row>
    <row r="364" spans="1:10" ht="38.25">
      <c r="A364" s="1627">
        <v>287903</v>
      </c>
      <c r="B364" s="1628">
        <v>415.87900000000002</v>
      </c>
      <c r="C364" s="1632" t="s">
        <v>616</v>
      </c>
      <c r="D364" s="1479"/>
      <c r="E364" s="1473">
        <v>-14033</v>
      </c>
      <c r="F364" s="1473">
        <f t="shared" si="17"/>
        <v>-14033</v>
      </c>
      <c r="G364" s="1473">
        <v>0</v>
      </c>
      <c r="H364" s="1473">
        <v>0</v>
      </c>
      <c r="I364" s="1473">
        <v>0</v>
      </c>
      <c r="J364" s="1474" t="s">
        <v>617</v>
      </c>
    </row>
    <row r="365" spans="1:10" ht="12.75">
      <c r="A365" s="1627">
        <v>287906</v>
      </c>
      <c r="B365" s="1628">
        <v>415.863</v>
      </c>
      <c r="C365" s="1632" t="s">
        <v>631</v>
      </c>
      <c r="D365" s="1479"/>
      <c r="E365" s="1473">
        <v>-453432</v>
      </c>
      <c r="F365" s="1473">
        <f t="shared" si="17"/>
        <v>-453432</v>
      </c>
      <c r="G365" s="1473">
        <v>0</v>
      </c>
      <c r="H365" s="1473">
        <v>0</v>
      </c>
      <c r="I365" s="1473">
        <v>0</v>
      </c>
      <c r="J365" s="1631" t="s">
        <v>632</v>
      </c>
    </row>
    <row r="366" spans="1:10" ht="38.25">
      <c r="A366" s="1627">
        <v>287911</v>
      </c>
      <c r="B366" s="1628">
        <v>415.69900000000001</v>
      </c>
      <c r="C366" s="1632" t="s">
        <v>580</v>
      </c>
      <c r="D366" s="1479"/>
      <c r="E366" s="1473">
        <v>-27685</v>
      </c>
      <c r="F366" s="1473">
        <f t="shared" si="17"/>
        <v>-27685</v>
      </c>
      <c r="G366" s="1473">
        <v>0</v>
      </c>
      <c r="H366" s="1473">
        <v>0</v>
      </c>
      <c r="I366" s="1473">
        <v>0</v>
      </c>
      <c r="J366" s="1474" t="s">
        <v>2019</v>
      </c>
    </row>
    <row r="367" spans="1:10" ht="25.5">
      <c r="A367" s="1627">
        <v>287747</v>
      </c>
      <c r="B367" s="1628">
        <v>705.24</v>
      </c>
      <c r="C367" s="1632" t="s">
        <v>2147</v>
      </c>
      <c r="D367" s="1479"/>
      <c r="E367" s="1473">
        <v>-151631</v>
      </c>
      <c r="F367" s="1473">
        <f t="shared" si="17"/>
        <v>-151631</v>
      </c>
      <c r="G367" s="1473">
        <v>0</v>
      </c>
      <c r="H367" s="1473">
        <v>0</v>
      </c>
      <c r="I367" s="1473">
        <v>0</v>
      </c>
      <c r="J367" s="1474" t="s">
        <v>2148</v>
      </c>
    </row>
    <row r="368" spans="1:10" ht="25.5">
      <c r="A368" s="1627">
        <v>287917</v>
      </c>
      <c r="B368" s="1628">
        <v>705.45100000000002</v>
      </c>
      <c r="C368" s="1632" t="s">
        <v>635</v>
      </c>
      <c r="D368" s="1479"/>
      <c r="E368" s="1473">
        <v>-6920917</v>
      </c>
      <c r="F368" s="1473">
        <f t="shared" si="17"/>
        <v>-6920917</v>
      </c>
      <c r="G368" s="1473">
        <v>0</v>
      </c>
      <c r="H368" s="1473">
        <v>0</v>
      </c>
      <c r="I368" s="1473">
        <v>0</v>
      </c>
      <c r="J368" s="1631" t="s">
        <v>388</v>
      </c>
    </row>
    <row r="369" spans="1:11" ht="25.5">
      <c r="A369" s="1627">
        <v>287914</v>
      </c>
      <c r="B369" s="1628">
        <v>715.721</v>
      </c>
      <c r="C369" s="1632" t="s">
        <v>2081</v>
      </c>
      <c r="D369" s="1479"/>
      <c r="E369" s="1473">
        <v>-489843</v>
      </c>
      <c r="F369" s="1473">
        <f t="shared" si="17"/>
        <v>-489843</v>
      </c>
      <c r="G369" s="1473">
        <v>0</v>
      </c>
      <c r="H369" s="1473">
        <v>0</v>
      </c>
      <c r="I369" s="1473">
        <v>0</v>
      </c>
      <c r="J369" s="1631" t="s">
        <v>2082</v>
      </c>
    </row>
    <row r="370" spans="1:11" ht="18" customHeight="1">
      <c r="A370" s="1627">
        <v>287919</v>
      </c>
      <c r="B370" s="1628">
        <v>425.10500000000002</v>
      </c>
      <c r="C370" s="1632" t="s">
        <v>618</v>
      </c>
      <c r="D370" s="1479"/>
      <c r="E370" s="1473">
        <v>-454717</v>
      </c>
      <c r="F370" s="1473">
        <f t="shared" si="17"/>
        <v>-454717</v>
      </c>
      <c r="G370" s="1473">
        <v>0</v>
      </c>
      <c r="H370" s="1473">
        <v>0</v>
      </c>
      <c r="I370" s="1473">
        <v>0</v>
      </c>
      <c r="J370" s="1474" t="s">
        <v>2020</v>
      </c>
    </row>
    <row r="371" spans="1:11" ht="27" customHeight="1">
      <c r="A371" s="1627">
        <v>287685</v>
      </c>
      <c r="B371" s="1628">
        <v>425.38</v>
      </c>
      <c r="C371" s="1632" t="s">
        <v>2083</v>
      </c>
      <c r="D371" s="1479"/>
      <c r="E371" s="1473">
        <v>-329847</v>
      </c>
      <c r="F371" s="1473">
        <f t="shared" si="17"/>
        <v>-329847</v>
      </c>
      <c r="G371" s="1473">
        <v>0</v>
      </c>
      <c r="H371" s="1473">
        <v>0</v>
      </c>
      <c r="I371" s="1473">
        <v>0</v>
      </c>
      <c r="J371" s="1474" t="s">
        <v>2084</v>
      </c>
    </row>
    <row r="372" spans="1:11" ht="51">
      <c r="A372" s="1627">
        <v>287927</v>
      </c>
      <c r="B372" s="1628">
        <v>100.11</v>
      </c>
      <c r="C372" s="1632" t="s">
        <v>1568</v>
      </c>
      <c r="D372" s="1479"/>
      <c r="E372" s="1473">
        <v>-86766</v>
      </c>
      <c r="F372" s="1473">
        <f t="shared" si="17"/>
        <v>-86766</v>
      </c>
      <c r="G372" s="1473">
        <v>0</v>
      </c>
      <c r="H372" s="1473">
        <v>0</v>
      </c>
      <c r="I372" s="1473">
        <v>0</v>
      </c>
      <c r="J372" s="1631" t="s">
        <v>2085</v>
      </c>
      <c r="K372" s="1466"/>
    </row>
    <row r="373" spans="1:11" ht="13.5" customHeight="1">
      <c r="A373" s="1627">
        <v>287935</v>
      </c>
      <c r="B373" s="1628">
        <v>415.93599999999998</v>
      </c>
      <c r="C373" s="1632" t="s">
        <v>583</v>
      </c>
      <c r="D373" s="1479"/>
      <c r="E373" s="1473">
        <v>-104432</v>
      </c>
      <c r="F373" s="1473">
        <f t="shared" si="17"/>
        <v>-104432</v>
      </c>
      <c r="G373" s="1473">
        <v>0</v>
      </c>
      <c r="H373" s="1473">
        <v>0</v>
      </c>
      <c r="I373" s="1473">
        <v>0</v>
      </c>
      <c r="J373" s="1474" t="s">
        <v>584</v>
      </c>
    </row>
    <row r="374" spans="1:11" ht="27.75" customHeight="1">
      <c r="A374" s="1627">
        <v>287939</v>
      </c>
      <c r="B374" s="1628">
        <v>415.11500000000001</v>
      </c>
      <c r="C374" s="1632" t="s">
        <v>664</v>
      </c>
      <c r="D374" s="1479"/>
      <c r="E374" s="1473">
        <v>-157331</v>
      </c>
      <c r="F374" s="1473">
        <f t="shared" si="17"/>
        <v>-157331</v>
      </c>
      <c r="G374" s="1473">
        <v>0</v>
      </c>
      <c r="H374" s="1473">
        <v>0</v>
      </c>
      <c r="I374" s="1473">
        <v>0</v>
      </c>
      <c r="J374" s="1631" t="s">
        <v>2021</v>
      </c>
    </row>
    <row r="375" spans="1:11" ht="13.5" customHeight="1">
      <c r="A375" s="1627">
        <v>287942</v>
      </c>
      <c r="B375" s="1628">
        <v>430.11200000000002</v>
      </c>
      <c r="C375" s="1632" t="s">
        <v>619</v>
      </c>
      <c r="D375" s="1479"/>
      <c r="E375" s="1473">
        <v>-6308642</v>
      </c>
      <c r="F375" s="1473">
        <f t="shared" si="17"/>
        <v>-6308642</v>
      </c>
      <c r="G375" s="1473">
        <v>0</v>
      </c>
      <c r="H375" s="1473">
        <v>0</v>
      </c>
      <c r="I375" s="1473">
        <v>0</v>
      </c>
      <c r="J375" s="1474" t="s">
        <v>1659</v>
      </c>
    </row>
    <row r="376" spans="1:11" ht="12.75">
      <c r="A376" s="1627">
        <v>287860</v>
      </c>
      <c r="B376" s="1628">
        <v>415.85500000000002</v>
      </c>
      <c r="C376" s="1632" t="s">
        <v>628</v>
      </c>
      <c r="D376" s="1479"/>
      <c r="E376" s="1473">
        <v>-5107642</v>
      </c>
      <c r="F376" s="1473">
        <f t="shared" si="17"/>
        <v>-5107642</v>
      </c>
      <c r="G376" s="1473">
        <v>0</v>
      </c>
      <c r="H376" s="1473">
        <v>0</v>
      </c>
      <c r="I376" s="1473">
        <v>0</v>
      </c>
      <c r="J376" s="1631" t="s">
        <v>2022</v>
      </c>
    </row>
    <row r="377" spans="1:11" ht="12.75">
      <c r="A377" s="1627">
        <v>287971</v>
      </c>
      <c r="B377" s="1628">
        <v>415.86799999999999</v>
      </c>
      <c r="C377" s="1632" t="s">
        <v>662</v>
      </c>
      <c r="D377" s="1479"/>
      <c r="E377" s="1473">
        <v>-35930</v>
      </c>
      <c r="F377" s="1473">
        <f t="shared" si="17"/>
        <v>-35930</v>
      </c>
      <c r="G377" s="1473">
        <v>0</v>
      </c>
      <c r="H377" s="1473">
        <v>0</v>
      </c>
      <c r="I377" s="1473">
        <v>0</v>
      </c>
      <c r="J377" s="1631" t="s">
        <v>663</v>
      </c>
    </row>
    <row r="378" spans="1:11" ht="12.75">
      <c r="A378" s="1627">
        <v>287972</v>
      </c>
      <c r="B378" s="1628">
        <v>320.28500000000003</v>
      </c>
      <c r="C378" s="1632" t="s">
        <v>620</v>
      </c>
      <c r="D378" s="1479"/>
      <c r="E378" s="1473">
        <v>1944263</v>
      </c>
      <c r="F378" s="1473">
        <v>0</v>
      </c>
      <c r="G378" s="1473">
        <v>0</v>
      </c>
      <c r="H378" s="1473">
        <v>0</v>
      </c>
      <c r="I378" s="1473">
        <f>E378</f>
        <v>1944263</v>
      </c>
      <c r="J378" s="1631" t="s">
        <v>621</v>
      </c>
    </row>
    <row r="379" spans="1:11" ht="38.25">
      <c r="A379" s="1627">
        <v>287981</v>
      </c>
      <c r="B379" s="1628">
        <v>415.92</v>
      </c>
      <c r="C379" s="1632" t="s">
        <v>599</v>
      </c>
      <c r="D379" s="1479"/>
      <c r="E379" s="1473">
        <v>-1713723</v>
      </c>
      <c r="F379" s="1473">
        <f t="shared" ref="F379:F384" si="18">E379</f>
        <v>-1713723</v>
      </c>
      <c r="G379" s="1473">
        <v>0</v>
      </c>
      <c r="H379" s="1473">
        <v>0</v>
      </c>
      <c r="I379" s="1473">
        <v>0</v>
      </c>
      <c r="J379" s="1474" t="s">
        <v>2023</v>
      </c>
    </row>
    <row r="380" spans="1:11" ht="25.5">
      <c r="A380" s="1627">
        <v>287982</v>
      </c>
      <c r="B380" s="1628">
        <v>415.92099999999999</v>
      </c>
      <c r="C380" s="1632" t="s">
        <v>600</v>
      </c>
      <c r="D380" s="1479"/>
      <c r="E380" s="1473">
        <v>-236111</v>
      </c>
      <c r="F380" s="1473">
        <f t="shared" si="18"/>
        <v>-236111</v>
      </c>
      <c r="G380" s="1473">
        <v>0</v>
      </c>
      <c r="H380" s="1473">
        <v>0</v>
      </c>
      <c r="I380" s="1473">
        <v>0</v>
      </c>
      <c r="J380" s="1474" t="s">
        <v>601</v>
      </c>
    </row>
    <row r="381" spans="1:11" ht="25.5">
      <c r="A381" s="1627">
        <v>287983</v>
      </c>
      <c r="B381" s="1628">
        <v>415.92200000000003</v>
      </c>
      <c r="C381" s="1632" t="s">
        <v>602</v>
      </c>
      <c r="D381" s="1479"/>
      <c r="E381" s="1473">
        <v>-815398</v>
      </c>
      <c r="F381" s="1473">
        <f t="shared" si="18"/>
        <v>-815398</v>
      </c>
      <c r="G381" s="1473">
        <v>0</v>
      </c>
      <c r="H381" s="1473">
        <v>0</v>
      </c>
      <c r="I381" s="1473">
        <v>0</v>
      </c>
      <c r="J381" s="1474" t="s">
        <v>603</v>
      </c>
    </row>
    <row r="382" spans="1:11" ht="38.25">
      <c r="A382" s="1627">
        <v>287985</v>
      </c>
      <c r="B382" s="1628">
        <v>415.92399999999998</v>
      </c>
      <c r="C382" s="1632" t="s">
        <v>2024</v>
      </c>
      <c r="D382" s="1479"/>
      <c r="E382" s="1473">
        <v>-3644147</v>
      </c>
      <c r="F382" s="1473">
        <f t="shared" si="18"/>
        <v>-3644147</v>
      </c>
      <c r="G382" s="1473">
        <v>0</v>
      </c>
      <c r="H382" s="1473">
        <v>0</v>
      </c>
      <c r="I382" s="1473">
        <v>0</v>
      </c>
      <c r="J382" s="1474" t="s">
        <v>2025</v>
      </c>
    </row>
    <row r="383" spans="1:11" ht="12.75">
      <c r="A383" s="1627">
        <v>287996</v>
      </c>
      <c r="B383" s="1628">
        <v>415.67500000000001</v>
      </c>
      <c r="C383" s="1632" t="s">
        <v>625</v>
      </c>
      <c r="D383" s="1479"/>
      <c r="E383" s="1473">
        <v>-4227</v>
      </c>
      <c r="F383" s="1473">
        <f t="shared" si="18"/>
        <v>-4227</v>
      </c>
      <c r="G383" s="1473">
        <v>0</v>
      </c>
      <c r="H383" s="1473">
        <v>0</v>
      </c>
      <c r="I383" s="1473">
        <v>0</v>
      </c>
      <c r="J383" s="1631" t="s">
        <v>2026</v>
      </c>
    </row>
    <row r="384" spans="1:11" ht="30.75" customHeight="1">
      <c r="A384" s="1627">
        <v>287997</v>
      </c>
      <c r="B384" s="1628">
        <v>415.86200000000002</v>
      </c>
      <c r="C384" s="1632" t="s">
        <v>581</v>
      </c>
      <c r="D384" s="1479"/>
      <c r="E384" s="1473">
        <v>-46573</v>
      </c>
      <c r="F384" s="1473">
        <f t="shared" si="18"/>
        <v>-46573</v>
      </c>
      <c r="G384" s="1473">
        <v>0</v>
      </c>
      <c r="H384" s="1473">
        <v>0</v>
      </c>
      <c r="I384" s="1473">
        <v>0</v>
      </c>
      <c r="J384" s="1474" t="s">
        <v>582</v>
      </c>
    </row>
    <row r="385" spans="1:10" ht="12.75">
      <c r="A385" s="1470" t="s">
        <v>636</v>
      </c>
      <c r="B385" s="1628"/>
      <c r="C385" s="1632"/>
      <c r="D385" s="1479"/>
      <c r="E385" s="1473"/>
      <c r="F385" s="1708"/>
      <c r="G385" s="1708"/>
      <c r="H385" s="1708"/>
      <c r="I385" s="1708"/>
      <c r="J385" s="1631"/>
    </row>
    <row r="386" spans="1:10" ht="25.5">
      <c r="A386" s="1627">
        <v>286908</v>
      </c>
      <c r="B386" s="1628">
        <v>210.20099999999999</v>
      </c>
      <c r="C386" s="1632" t="s">
        <v>667</v>
      </c>
      <c r="D386" s="1479"/>
      <c r="E386" s="1473">
        <v>-3391794</v>
      </c>
      <c r="F386" s="1473">
        <v>0</v>
      </c>
      <c r="G386" s="1473">
        <v>0</v>
      </c>
      <c r="H386" s="1473">
        <f>+E386</f>
        <v>-3391794</v>
      </c>
      <c r="I386" s="1473">
        <v>0</v>
      </c>
      <c r="J386" s="1631" t="s">
        <v>1700</v>
      </c>
    </row>
    <row r="387" spans="1:10" ht="25.5">
      <c r="A387" s="1627">
        <v>286909</v>
      </c>
      <c r="B387" s="1628">
        <v>720.81500000000005</v>
      </c>
      <c r="C387" s="1629" t="s">
        <v>665</v>
      </c>
      <c r="D387" s="1479"/>
      <c r="E387" s="1473">
        <v>-12862576</v>
      </c>
      <c r="F387" s="1473">
        <f t="shared" ref="F387:F396" si="19">E387</f>
        <v>-12862576</v>
      </c>
      <c r="G387" s="1473">
        <v>0</v>
      </c>
      <c r="H387" s="1473">
        <v>0</v>
      </c>
      <c r="I387" s="1473">
        <v>0</v>
      </c>
      <c r="J387" s="1631" t="s">
        <v>2027</v>
      </c>
    </row>
    <row r="388" spans="1:10" ht="25.5">
      <c r="A388" s="1627">
        <v>286918</v>
      </c>
      <c r="B388" s="1628">
        <v>210.17500000000001</v>
      </c>
      <c r="C388" s="1632" t="s">
        <v>1698</v>
      </c>
      <c r="D388" s="1479"/>
      <c r="E388" s="1473">
        <v>-272868</v>
      </c>
      <c r="F388" s="1473">
        <f t="shared" si="19"/>
        <v>-272868</v>
      </c>
      <c r="G388" s="1473">
        <v>0</v>
      </c>
      <c r="H388" s="1473">
        <v>0</v>
      </c>
      <c r="I388" s="1473">
        <v>0</v>
      </c>
      <c r="J388" s="1631" t="s">
        <v>1699</v>
      </c>
    </row>
    <row r="389" spans="1:10" ht="25.5">
      <c r="A389" s="1627">
        <v>286919</v>
      </c>
      <c r="B389" s="1628">
        <v>210.17</v>
      </c>
      <c r="C389" s="1632" t="s">
        <v>1853</v>
      </c>
      <c r="D389" s="1479"/>
      <c r="E389" s="1473">
        <v>-69425</v>
      </c>
      <c r="F389" s="1473">
        <f t="shared" si="19"/>
        <v>-69425</v>
      </c>
      <c r="G389" s="1473">
        <v>0</v>
      </c>
      <c r="H389" s="1473">
        <v>0</v>
      </c>
      <c r="I389" s="1473">
        <v>0</v>
      </c>
      <c r="J389" s="1631" t="s">
        <v>1854</v>
      </c>
    </row>
    <row r="390" spans="1:10" ht="38.25">
      <c r="A390" s="1627">
        <v>287564</v>
      </c>
      <c r="B390" s="1628">
        <v>425.13</v>
      </c>
      <c r="C390" s="1632" t="s">
        <v>439</v>
      </c>
      <c r="D390" s="1479"/>
      <c r="E390" s="1473">
        <v>-137632</v>
      </c>
      <c r="F390" s="1473">
        <f t="shared" si="19"/>
        <v>-137632</v>
      </c>
      <c r="G390" s="1473">
        <v>0</v>
      </c>
      <c r="H390" s="1473">
        <v>0</v>
      </c>
      <c r="I390" s="1473">
        <v>0</v>
      </c>
      <c r="J390" s="1631" t="s">
        <v>440</v>
      </c>
    </row>
    <row r="391" spans="1:10" ht="12.75">
      <c r="A391" s="1627">
        <v>287569</v>
      </c>
      <c r="B391" s="1628">
        <v>720.80499999999995</v>
      </c>
      <c r="C391" s="1632" t="s">
        <v>1851</v>
      </c>
      <c r="D391" s="1479"/>
      <c r="E391" s="1473">
        <v>-15972568</v>
      </c>
      <c r="F391" s="1473">
        <f t="shared" si="19"/>
        <v>-15972568</v>
      </c>
      <c r="G391" s="1473">
        <v>0</v>
      </c>
      <c r="H391" s="1473">
        <v>0</v>
      </c>
      <c r="I391" s="1473">
        <v>0</v>
      </c>
      <c r="J391" s="1631" t="s">
        <v>1852</v>
      </c>
    </row>
    <row r="392" spans="1:10" ht="38.25">
      <c r="A392" s="1627">
        <v>287661</v>
      </c>
      <c r="B392" s="1628">
        <v>425.36</v>
      </c>
      <c r="C392" s="1632" t="s">
        <v>637</v>
      </c>
      <c r="D392" s="1479"/>
      <c r="E392" s="1473">
        <v>-531187</v>
      </c>
      <c r="F392" s="1473">
        <f t="shared" si="19"/>
        <v>-531187</v>
      </c>
      <c r="G392" s="1473">
        <v>0</v>
      </c>
      <c r="H392" s="1473">
        <v>0</v>
      </c>
      <c r="I392" s="1473">
        <v>0</v>
      </c>
      <c r="J392" s="1631" t="s">
        <v>638</v>
      </c>
    </row>
    <row r="393" spans="1:10" ht="25.5">
      <c r="A393" s="1627">
        <v>287662</v>
      </c>
      <c r="B393" s="1628">
        <v>210.1</v>
      </c>
      <c r="C393" s="1632" t="s">
        <v>642</v>
      </c>
      <c r="D393" s="1479"/>
      <c r="E393" s="1473">
        <v>-372882</v>
      </c>
      <c r="F393" s="1473">
        <f t="shared" si="19"/>
        <v>-372882</v>
      </c>
      <c r="G393" s="1473">
        <v>0</v>
      </c>
      <c r="H393" s="1473">
        <v>0</v>
      </c>
      <c r="I393" s="1473">
        <v>0</v>
      </c>
      <c r="J393" s="1631" t="s">
        <v>2028</v>
      </c>
    </row>
    <row r="394" spans="1:10" ht="25.5">
      <c r="A394" s="1627">
        <v>287664</v>
      </c>
      <c r="B394" s="1628">
        <v>210.12</v>
      </c>
      <c r="C394" s="1632" t="s">
        <v>645</v>
      </c>
      <c r="D394" s="1479"/>
      <c r="E394" s="1473">
        <v>-849252</v>
      </c>
      <c r="F394" s="1473">
        <f t="shared" si="19"/>
        <v>-849252</v>
      </c>
      <c r="G394" s="1473">
        <v>0</v>
      </c>
      <c r="H394" s="1473">
        <v>0</v>
      </c>
      <c r="I394" s="1473">
        <v>0</v>
      </c>
      <c r="J394" s="1631" t="s">
        <v>646</v>
      </c>
    </row>
    <row r="395" spans="1:10" ht="25.5">
      <c r="A395" s="1627">
        <v>287665</v>
      </c>
      <c r="B395" s="1628">
        <v>210.13</v>
      </c>
      <c r="C395" s="1632" t="s">
        <v>641</v>
      </c>
      <c r="D395" s="1479"/>
      <c r="E395" s="1473">
        <v>-76830</v>
      </c>
      <c r="F395" s="1473">
        <f t="shared" si="19"/>
        <v>-76830</v>
      </c>
      <c r="G395" s="1473">
        <v>0</v>
      </c>
      <c r="H395" s="1473">
        <v>0</v>
      </c>
      <c r="I395" s="1473">
        <v>0</v>
      </c>
      <c r="J395" s="1631" t="s">
        <v>2029</v>
      </c>
    </row>
    <row r="396" spans="1:10" ht="25.5">
      <c r="A396" s="1627">
        <v>287669</v>
      </c>
      <c r="B396" s="1628">
        <v>210.18</v>
      </c>
      <c r="C396" s="1632" t="s">
        <v>639</v>
      </c>
      <c r="D396" s="1479"/>
      <c r="E396" s="1473">
        <v>-545004</v>
      </c>
      <c r="F396" s="1473">
        <f t="shared" si="19"/>
        <v>-545004</v>
      </c>
      <c r="G396" s="1473">
        <v>0</v>
      </c>
      <c r="H396" s="1473">
        <v>0</v>
      </c>
      <c r="I396" s="1473">
        <v>0</v>
      </c>
      <c r="J396" s="1631" t="s">
        <v>640</v>
      </c>
    </row>
    <row r="397" spans="1:10" ht="12.75">
      <c r="A397" s="1627">
        <v>287708</v>
      </c>
      <c r="B397" s="1628">
        <v>210.2</v>
      </c>
      <c r="C397" s="1632" t="s">
        <v>643</v>
      </c>
      <c r="D397" s="1479"/>
      <c r="E397" s="1473">
        <v>-6470234</v>
      </c>
      <c r="F397" s="1473">
        <v>0</v>
      </c>
      <c r="G397" s="1473">
        <v>0</v>
      </c>
      <c r="H397" s="1473">
        <f>E397</f>
        <v>-6470234</v>
      </c>
      <c r="I397" s="1473">
        <v>0</v>
      </c>
      <c r="J397" s="1631" t="s">
        <v>644</v>
      </c>
    </row>
    <row r="398" spans="1:10" ht="27" customHeight="1">
      <c r="A398" s="1627">
        <v>287770</v>
      </c>
      <c r="B398" s="1628">
        <v>120.205</v>
      </c>
      <c r="C398" s="1632" t="s">
        <v>648</v>
      </c>
      <c r="D398" s="1479"/>
      <c r="E398" s="1473">
        <v>-919108</v>
      </c>
      <c r="F398" s="1473">
        <f>E398</f>
        <v>-919108</v>
      </c>
      <c r="G398" s="1473">
        <v>0</v>
      </c>
      <c r="H398" s="1473">
        <v>0</v>
      </c>
      <c r="I398" s="1473">
        <v>0</v>
      </c>
      <c r="J398" s="1631" t="s">
        <v>649</v>
      </c>
    </row>
    <row r="399" spans="1:10" ht="50.25" customHeight="1">
      <c r="A399" s="1627">
        <v>287859</v>
      </c>
      <c r="B399" s="1628">
        <v>910.93499999999995</v>
      </c>
      <c r="C399" s="1632" t="s">
        <v>668</v>
      </c>
      <c r="D399" s="1479"/>
      <c r="E399" s="1473">
        <v>-413758</v>
      </c>
      <c r="F399" s="1473">
        <v>0</v>
      </c>
      <c r="G399" s="1473">
        <v>0</v>
      </c>
      <c r="H399" s="1473">
        <v>0</v>
      </c>
      <c r="I399" s="1473">
        <f>E399</f>
        <v>-413758</v>
      </c>
      <c r="J399" s="1631" t="s">
        <v>669</v>
      </c>
    </row>
    <row r="400" spans="1:10" ht="12.75">
      <c r="A400" s="1627">
        <v>287907</v>
      </c>
      <c r="B400" s="1628">
        <v>210.185</v>
      </c>
      <c r="C400" s="1632" t="s">
        <v>666</v>
      </c>
      <c r="D400" s="1479"/>
      <c r="E400" s="1473">
        <v>-41133</v>
      </c>
      <c r="F400" s="1473">
        <f>E400</f>
        <v>-41133</v>
      </c>
      <c r="G400" s="1473">
        <v>0</v>
      </c>
      <c r="H400" s="1473">
        <v>0</v>
      </c>
      <c r="I400" s="1473">
        <v>0</v>
      </c>
      <c r="J400" s="1631" t="s">
        <v>2030</v>
      </c>
    </row>
    <row r="401" spans="1:10" ht="12.75">
      <c r="A401" s="1627">
        <v>287908</v>
      </c>
      <c r="B401" s="1628">
        <v>210.19</v>
      </c>
      <c r="C401" s="1632" t="s">
        <v>647</v>
      </c>
      <c r="D401" s="1479"/>
      <c r="E401" s="1473">
        <v>-137093</v>
      </c>
      <c r="F401" s="1473">
        <f>E401</f>
        <v>-137093</v>
      </c>
      <c r="G401" s="1473">
        <v>0</v>
      </c>
      <c r="H401" s="1473">
        <v>0</v>
      </c>
      <c r="I401" s="1473">
        <v>0</v>
      </c>
      <c r="J401" s="1631" t="s">
        <v>2031</v>
      </c>
    </row>
    <row r="402" spans="1:10" ht="12.75">
      <c r="A402" s="1627">
        <v>287915</v>
      </c>
      <c r="B402" s="1628">
        <v>910.93700000000001</v>
      </c>
      <c r="C402" s="1632" t="s">
        <v>432</v>
      </c>
      <c r="D402" s="1479"/>
      <c r="E402" s="1473">
        <v>-667845</v>
      </c>
      <c r="F402" s="1473">
        <v>0</v>
      </c>
      <c r="G402" s="1473">
        <v>0</v>
      </c>
      <c r="H402" s="1473">
        <v>0</v>
      </c>
      <c r="I402" s="1473">
        <f>E402</f>
        <v>-667845</v>
      </c>
      <c r="J402" s="1631" t="s">
        <v>433</v>
      </c>
    </row>
    <row r="403" spans="1:10" ht="12.75">
      <c r="A403" s="1932" t="s">
        <v>470</v>
      </c>
      <c r="B403" s="1933"/>
      <c r="C403" s="1933"/>
      <c r="D403" s="1701"/>
      <c r="E403" s="1677">
        <v>-3</v>
      </c>
      <c r="F403" s="1677">
        <f>E403</f>
        <v>-3</v>
      </c>
      <c r="G403" s="1677">
        <v>0</v>
      </c>
      <c r="H403" s="1677">
        <v>0</v>
      </c>
      <c r="I403" s="1677">
        <v>0</v>
      </c>
      <c r="J403" s="1702"/>
    </row>
    <row r="404" spans="1:10" ht="12.75">
      <c r="A404" s="1641" t="s">
        <v>650</v>
      </c>
      <c r="B404" s="1642"/>
      <c r="C404" s="1637"/>
      <c r="D404" s="1643"/>
      <c r="E404" s="1682">
        <f>SUBTOTAL(9,E284:E403)</f>
        <v>-675137414</v>
      </c>
      <c r="F404" s="1682">
        <f>SUBTOTAL(9,F284:F403)</f>
        <v>-666138046</v>
      </c>
      <c r="G404" s="1682">
        <f>SUBTOTAL(9,G284:G403)</f>
        <v>0</v>
      </c>
      <c r="H404" s="1682">
        <f>SUBTOTAL(9,H284:H403)</f>
        <v>-9862028</v>
      </c>
      <c r="I404" s="1682">
        <f>SUBTOTAL(9,I284:I403)</f>
        <v>862660</v>
      </c>
      <c r="J404" s="1647"/>
    </row>
    <row r="405" spans="1:10" ht="12.75">
      <c r="A405" s="1641" t="s">
        <v>472</v>
      </c>
      <c r="B405" s="1642"/>
      <c r="C405" s="1637"/>
      <c r="D405" s="1643"/>
      <c r="E405" s="1480">
        <f>E372</f>
        <v>-86766</v>
      </c>
      <c r="F405" s="1480">
        <f t="shared" ref="F405:I405" si="20">F372</f>
        <v>-86766</v>
      </c>
      <c r="G405" s="1480">
        <f t="shared" si="20"/>
        <v>0</v>
      </c>
      <c r="H405" s="1480">
        <f t="shared" si="20"/>
        <v>0</v>
      </c>
      <c r="I405" s="1480">
        <f t="shared" si="20"/>
        <v>0</v>
      </c>
      <c r="J405" s="1647"/>
    </row>
    <row r="406" spans="1:10" ht="12.75">
      <c r="A406" s="1641" t="s">
        <v>473</v>
      </c>
      <c r="B406" s="1642"/>
      <c r="C406" s="1637"/>
      <c r="D406" s="1643"/>
      <c r="E406" s="1480">
        <v>0</v>
      </c>
      <c r="F406" s="1480">
        <v>0</v>
      </c>
      <c r="G406" s="1480">
        <v>0</v>
      </c>
      <c r="H406" s="1480">
        <v>0</v>
      </c>
      <c r="I406" s="1480">
        <v>0</v>
      </c>
      <c r="J406" s="1647"/>
    </row>
    <row r="407" spans="1:10" ht="12.75">
      <c r="A407" s="1703" t="s">
        <v>111</v>
      </c>
      <c r="B407" s="338"/>
      <c r="C407" s="339"/>
      <c r="D407" s="1646"/>
      <c r="E407" s="1481">
        <f>SUM(E404-E405-E406)</f>
        <v>-675050648</v>
      </c>
      <c r="F407" s="1481">
        <f>SUM(F404-F405-F406)</f>
        <v>-666051280</v>
      </c>
      <c r="G407" s="1481">
        <f>SUM(G404-G405-G406)</f>
        <v>0</v>
      </c>
      <c r="H407" s="1481">
        <f>SUM(H404-H405-H406)</f>
        <v>-9862028</v>
      </c>
      <c r="I407" s="1481">
        <f>SUM(I404-I405-I406)</f>
        <v>862660</v>
      </c>
      <c r="J407" s="1647"/>
    </row>
    <row r="408" spans="1:10" ht="12.75">
      <c r="A408" s="320"/>
      <c r="B408" s="320"/>
      <c r="C408" s="332"/>
      <c r="D408" s="321"/>
      <c r="E408" s="321"/>
      <c r="F408" s="321"/>
      <c r="G408" s="321"/>
      <c r="H408" s="321"/>
      <c r="I408" s="1466"/>
      <c r="J408" s="330"/>
    </row>
    <row r="409" spans="1:10" ht="12.75">
      <c r="A409" s="320"/>
      <c r="B409" s="320"/>
      <c r="C409" s="1655" t="s">
        <v>651</v>
      </c>
      <c r="D409" s="1297"/>
      <c r="E409" s="1297"/>
      <c r="F409" s="1297"/>
      <c r="G409" s="1684"/>
      <c r="H409" s="1685"/>
      <c r="I409" s="1466"/>
      <c r="J409" s="330"/>
    </row>
    <row r="410" spans="1:10" ht="25.5">
      <c r="A410" s="320"/>
      <c r="B410" s="320"/>
      <c r="C410" s="1704" t="s">
        <v>475</v>
      </c>
      <c r="D410" s="484"/>
      <c r="E410" s="1466"/>
      <c r="F410" s="1466"/>
      <c r="G410" s="1466"/>
      <c r="H410" s="1705"/>
      <c r="I410" s="1466"/>
      <c r="J410" s="330"/>
    </row>
    <row r="411" spans="1:10" ht="33" customHeight="1">
      <c r="A411" s="320"/>
      <c r="B411" s="320"/>
      <c r="C411" s="1660" t="s">
        <v>476</v>
      </c>
      <c r="G411" s="343"/>
      <c r="H411" s="1686"/>
      <c r="I411" s="1466"/>
      <c r="J411" s="330"/>
    </row>
    <row r="412" spans="1:10" s="1664" customFormat="1" ht="12.75">
      <c r="A412" s="320"/>
      <c r="B412" s="320"/>
      <c r="C412" s="1660" t="s">
        <v>477</v>
      </c>
      <c r="D412" s="305"/>
      <c r="E412" s="305"/>
      <c r="F412" s="305"/>
      <c r="G412" s="343"/>
      <c r="H412" s="1686"/>
      <c r="I412" s="1466"/>
      <c r="J412" s="330"/>
    </row>
    <row r="413" spans="1:10" s="330" customFormat="1" ht="12.75">
      <c r="A413" s="320"/>
      <c r="B413" s="320"/>
      <c r="C413" s="1660" t="s">
        <v>478</v>
      </c>
      <c r="D413" s="305"/>
      <c r="E413" s="305"/>
      <c r="F413" s="305"/>
      <c r="G413" s="305"/>
      <c r="H413" s="1650"/>
      <c r="I413" s="1706"/>
    </row>
    <row r="414" spans="1:10" s="330" customFormat="1" ht="28.5" customHeight="1">
      <c r="A414" s="320"/>
      <c r="B414" s="320"/>
      <c r="C414" s="1925" t="s">
        <v>479</v>
      </c>
      <c r="D414" s="1926"/>
      <c r="E414" s="1926"/>
      <c r="F414" s="1926"/>
      <c r="G414" s="1926"/>
      <c r="H414" s="1927"/>
      <c r="I414" s="1466"/>
    </row>
    <row r="415" spans="1:10" s="330" customFormat="1">
      <c r="A415" s="310"/>
      <c r="B415" s="310"/>
      <c r="C415" s="311"/>
      <c r="D415" s="305"/>
      <c r="E415" s="305"/>
      <c r="F415" s="305"/>
      <c r="G415" s="305"/>
      <c r="H415" s="305"/>
      <c r="I415" s="311"/>
      <c r="J415" s="305"/>
    </row>
  </sheetData>
  <mergeCells count="6">
    <mergeCell ref="C414:H414"/>
    <mergeCell ref="C167:H167"/>
    <mergeCell ref="C189:H189"/>
    <mergeCell ref="C193:H193"/>
    <mergeCell ref="C272:H272"/>
    <mergeCell ref="A403:C403"/>
  </mergeCells>
  <pageMargins left="0.7" right="0.7" top="0.75" bottom="0.75" header="0.3" footer="0.3"/>
  <pageSetup scale="44"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30"/>
  <sheetViews>
    <sheetView topLeftCell="A19" zoomScaleNormal="100" workbookViewId="0">
      <selection activeCell="E36" sqref="E36:H160"/>
    </sheetView>
  </sheetViews>
  <sheetFormatPr defaultColWidth="9.140625" defaultRowHeight="14.25"/>
  <cols>
    <col min="1" max="2" width="10.85546875" style="310" customWidth="1"/>
    <col min="3" max="3" width="59.140625" style="311" customWidth="1"/>
    <col min="4" max="8" width="18.5703125" style="305" customWidth="1"/>
    <col min="9" max="9" width="18.5703125" style="311" customWidth="1"/>
    <col min="10" max="10" width="80.5703125" style="305" customWidth="1"/>
    <col min="11" max="11" width="14" style="305" bestFit="1" customWidth="1"/>
    <col min="12" max="12" width="15.140625" style="305" bestFit="1" customWidth="1"/>
    <col min="13" max="13" width="17.28515625" style="305" bestFit="1" customWidth="1"/>
    <col min="14" max="14" width="15" style="305" bestFit="1" customWidth="1"/>
    <col min="15" max="16384" width="9.140625" style="305"/>
  </cols>
  <sheetData>
    <row r="1" spans="1:14" ht="18">
      <c r="A1" s="302" t="s">
        <v>2</v>
      </c>
      <c r="B1" s="302"/>
      <c r="C1" s="303"/>
      <c r="D1" s="304"/>
      <c r="E1" s="304"/>
      <c r="F1" s="304"/>
      <c r="G1" s="304"/>
      <c r="H1" s="304"/>
      <c r="I1" s="304"/>
      <c r="J1" s="304"/>
    </row>
    <row r="2" spans="1:14" ht="15.75">
      <c r="A2" s="302" t="s">
        <v>480</v>
      </c>
      <c r="B2" s="302"/>
      <c r="C2" s="306"/>
      <c r="D2" s="307"/>
      <c r="E2" s="307"/>
      <c r="F2" s="307"/>
      <c r="G2" s="307"/>
      <c r="H2" s="307"/>
      <c r="I2" s="307"/>
      <c r="J2" s="307"/>
    </row>
    <row r="3" spans="1:14">
      <c r="A3" s="308" t="s">
        <v>652</v>
      </c>
      <c r="B3" s="306"/>
      <c r="C3" s="303"/>
      <c r="D3" s="309"/>
      <c r="E3" s="309"/>
      <c r="F3" s="309"/>
      <c r="G3" s="309"/>
      <c r="H3" s="309"/>
      <c r="I3" s="303"/>
      <c r="J3" s="308"/>
    </row>
    <row r="4" spans="1:14" ht="15">
      <c r="D4" s="312"/>
      <c r="E4" s="312"/>
      <c r="F4" s="312"/>
      <c r="G4" s="312"/>
      <c r="H4" s="313"/>
      <c r="I4" s="312"/>
      <c r="J4" s="313"/>
    </row>
    <row r="5" spans="1:14" ht="15">
      <c r="D5" s="312"/>
      <c r="E5" s="313"/>
      <c r="F5" s="313"/>
      <c r="G5" s="313"/>
      <c r="H5" s="313"/>
      <c r="I5" s="313"/>
      <c r="J5" s="313"/>
    </row>
    <row r="6" spans="1:14" ht="32.25" thickBot="1">
      <c r="A6" s="314" t="s">
        <v>283</v>
      </c>
      <c r="B6" s="314"/>
      <c r="C6" s="314" t="s">
        <v>284</v>
      </c>
      <c r="D6" s="315" t="s">
        <v>307</v>
      </c>
      <c r="E6" s="316" t="s">
        <v>327</v>
      </c>
      <c r="F6" s="316" t="s">
        <v>328</v>
      </c>
      <c r="G6" s="316" t="s">
        <v>329</v>
      </c>
      <c r="H6" s="315" t="s">
        <v>330</v>
      </c>
      <c r="I6" s="315" t="s">
        <v>331</v>
      </c>
      <c r="J6" s="316" t="s">
        <v>332</v>
      </c>
    </row>
    <row r="7" spans="1:14" ht="15.75">
      <c r="A7" s="302"/>
      <c r="B7" s="302"/>
      <c r="C7" s="302" t="s">
        <v>333</v>
      </c>
      <c r="D7" s="317" t="s">
        <v>334</v>
      </c>
      <c r="E7" s="317"/>
      <c r="F7" s="317"/>
      <c r="G7" s="317" t="s">
        <v>335</v>
      </c>
      <c r="H7" s="317" t="s">
        <v>336</v>
      </c>
      <c r="I7" s="317" t="s">
        <v>337</v>
      </c>
      <c r="J7" s="317" t="s">
        <v>338</v>
      </c>
    </row>
    <row r="8" spans="1:14">
      <c r="I8" s="305"/>
    </row>
    <row r="9" spans="1:14">
      <c r="I9" s="305"/>
    </row>
    <row r="10" spans="1:14">
      <c r="A10" s="318">
        <v>1</v>
      </c>
      <c r="B10" s="319"/>
      <c r="C10" s="311" t="s">
        <v>339</v>
      </c>
      <c r="D10" s="320" t="s">
        <v>340</v>
      </c>
      <c r="E10" s="321">
        <f>E275</f>
        <v>-3069325888</v>
      </c>
      <c r="F10" s="321">
        <f>F275</f>
        <v>-2022296429</v>
      </c>
      <c r="G10" s="321">
        <f>+G275</f>
        <v>-881652889</v>
      </c>
      <c r="H10" s="321">
        <f>+H275</f>
        <v>11925271</v>
      </c>
      <c r="I10" s="321">
        <f>+I275</f>
        <v>-177301841</v>
      </c>
      <c r="J10" s="321"/>
    </row>
    <row r="11" spans="1:14">
      <c r="A11" s="319">
        <f t="shared" ref="A11:A19" si="0">A10+1</f>
        <v>2</v>
      </c>
      <c r="B11" s="319"/>
      <c r="C11" s="311" t="s">
        <v>341</v>
      </c>
      <c r="D11" s="320" t="s">
        <v>342</v>
      </c>
      <c r="E11" s="321">
        <f>E195</f>
        <v>-111057723</v>
      </c>
      <c r="F11" s="321">
        <f>F195</f>
        <v>-111057723</v>
      </c>
      <c r="G11" s="321">
        <f>G195</f>
        <v>0</v>
      </c>
      <c r="H11" s="321">
        <f>H195</f>
        <v>0</v>
      </c>
      <c r="I11" s="321">
        <f>I195</f>
        <v>0</v>
      </c>
      <c r="J11" s="321"/>
    </row>
    <row r="12" spans="1:14">
      <c r="A12" s="319">
        <f t="shared" si="0"/>
        <v>3</v>
      </c>
      <c r="B12" s="319"/>
      <c r="C12" s="311" t="s">
        <v>343</v>
      </c>
      <c r="D12" s="320" t="s">
        <v>344</v>
      </c>
      <c r="E12" s="321">
        <f>E423</f>
        <v>-765635433</v>
      </c>
      <c r="F12" s="321">
        <f>F423</f>
        <v>-760819093</v>
      </c>
      <c r="G12" s="321">
        <f>+G423</f>
        <v>0</v>
      </c>
      <c r="H12" s="321">
        <f>+H423</f>
        <v>-6903950</v>
      </c>
      <c r="I12" s="321">
        <f>+I423</f>
        <v>2087610</v>
      </c>
      <c r="J12" s="321"/>
    </row>
    <row r="13" spans="1:14">
      <c r="A13" s="319">
        <f t="shared" si="0"/>
        <v>4</v>
      </c>
      <c r="B13" s="319"/>
      <c r="C13" s="311" t="s">
        <v>345</v>
      </c>
      <c r="D13" s="320" t="s">
        <v>346</v>
      </c>
      <c r="E13" s="1707">
        <f>E169</f>
        <v>1045535250</v>
      </c>
      <c r="F13" s="1707">
        <f>F169</f>
        <v>1024394538</v>
      </c>
      <c r="G13" s="1707">
        <f>+G169</f>
        <v>1724609</v>
      </c>
      <c r="H13" s="1707">
        <f>+H169</f>
        <v>0</v>
      </c>
      <c r="I13" s="1707">
        <f>+I169</f>
        <v>19416103</v>
      </c>
      <c r="J13" s="321"/>
    </row>
    <row r="14" spans="1:14" ht="14.25" customHeight="1">
      <c r="A14" s="319">
        <f t="shared" si="0"/>
        <v>5</v>
      </c>
      <c r="B14" s="319"/>
      <c r="C14" s="311" t="s">
        <v>347</v>
      </c>
      <c r="D14" s="321" t="s">
        <v>348</v>
      </c>
      <c r="E14" s="321">
        <f>SUM(E10:E13)</f>
        <v>-2900483794</v>
      </c>
      <c r="F14" s="321">
        <f>SUM(F10:F13)</f>
        <v>-1869778707</v>
      </c>
      <c r="G14" s="321">
        <f>SUM(G10:G13)</f>
        <v>-879928280</v>
      </c>
      <c r="H14" s="321">
        <f>SUM(H10:H13)</f>
        <v>5021321</v>
      </c>
      <c r="I14" s="321">
        <f>SUM(I10:I13)</f>
        <v>-155798128</v>
      </c>
      <c r="J14" s="321"/>
      <c r="K14" s="1934"/>
    </row>
    <row r="15" spans="1:14" ht="14.25" customHeight="1">
      <c r="A15" s="319">
        <f t="shared" si="0"/>
        <v>6</v>
      </c>
      <c r="B15" s="319"/>
      <c r="C15" s="311" t="s">
        <v>349</v>
      </c>
      <c r="D15" s="320" t="s">
        <v>350</v>
      </c>
      <c r="G15" s="322">
        <v>1</v>
      </c>
      <c r="H15" s="322">
        <f>Allocator.net.plant</f>
        <v>0.37582955585006861</v>
      </c>
      <c r="I15" s="322">
        <f>Allocator.wages.salary</f>
        <v>9.4690139101538909E-2</v>
      </c>
      <c r="K15" s="1934"/>
    </row>
    <row r="16" spans="1:14">
      <c r="A16" s="319">
        <f t="shared" si="0"/>
        <v>7</v>
      </c>
      <c r="B16" s="319"/>
      <c r="C16" s="311" t="s">
        <v>351</v>
      </c>
      <c r="D16" s="320" t="str">
        <f>"Line "&amp;A14&amp;" * Allocator"</f>
        <v>Line 5 * Allocator</v>
      </c>
      <c r="E16" s="323"/>
      <c r="F16" s="323"/>
      <c r="G16" s="321">
        <f>G14</f>
        <v>-879928280</v>
      </c>
      <c r="H16" s="321">
        <f>H15*H14</f>
        <v>1887160.8412106223</v>
      </c>
      <c r="I16" s="321">
        <f>I15*I14</f>
        <v>-14752546.412079364</v>
      </c>
      <c r="J16" s="321"/>
      <c r="K16" s="1934"/>
      <c r="L16" s="343"/>
      <c r="M16" s="343"/>
      <c r="N16" s="343"/>
    </row>
    <row r="17" spans="1:14">
      <c r="A17" s="319">
        <f t="shared" si="0"/>
        <v>8</v>
      </c>
      <c r="B17" s="319"/>
      <c r="C17" s="311" t="s">
        <v>653</v>
      </c>
      <c r="D17" s="320" t="s">
        <v>352</v>
      </c>
      <c r="E17" s="320"/>
      <c r="F17" s="320"/>
      <c r="H17" s="321"/>
      <c r="I17" s="321"/>
      <c r="J17" s="1482">
        <f>SUM(G16:I16)</f>
        <v>-892793665.57086873</v>
      </c>
      <c r="K17" s="321"/>
      <c r="L17" s="321"/>
      <c r="M17" s="1495"/>
      <c r="N17" s="321"/>
    </row>
    <row r="18" spans="1:14">
      <c r="A18" s="319">
        <f t="shared" si="0"/>
        <v>9</v>
      </c>
      <c r="C18" s="311" t="s">
        <v>654</v>
      </c>
      <c r="G18" s="321">
        <f>'Att 1 - ADIT'!G16</f>
        <v>-846872453</v>
      </c>
      <c r="H18" s="321">
        <f>'Att 1 - ADIT'!H16</f>
        <v>3651146.1762982756</v>
      </c>
      <c r="I18" s="321">
        <f>'Att 1 - ADIT'!I16</f>
        <v>-14090062.005224604</v>
      </c>
      <c r="J18" s="321">
        <f>'Att 1 - ADIT'!J19</f>
        <v>-857311368.82892632</v>
      </c>
      <c r="K18" s="321"/>
      <c r="L18" s="321"/>
      <c r="M18" s="1495"/>
      <c r="N18" s="321"/>
    </row>
    <row r="19" spans="1:14" ht="15">
      <c r="A19" s="319">
        <f t="shared" si="0"/>
        <v>10</v>
      </c>
      <c r="B19" s="311"/>
      <c r="C19" s="1483" t="s">
        <v>655</v>
      </c>
      <c r="D19" s="305" t="str">
        <f>"Line "&amp;A17&amp;" for Projection and average of Lines "&amp;A17&amp;" &amp; "&amp;A18&amp;" for True-Up"</f>
        <v>Line 8 for Projection and average of Lines 8 &amp; 9 for True-Up</v>
      </c>
      <c r="H19" s="321"/>
      <c r="I19" s="321"/>
      <c r="J19" s="1496">
        <f>IF(Toggle=Projection,J17,IF(Toggle=True_up,AVERAGE(J17:J18),"Set Toggle!"))</f>
        <v>-892793665.57086873</v>
      </c>
      <c r="L19" s="321"/>
      <c r="M19" s="1495"/>
      <c r="N19" s="321"/>
    </row>
    <row r="20" spans="1:14">
      <c r="I20" s="305"/>
      <c r="K20" s="321"/>
    </row>
    <row r="21" spans="1:14" ht="12.75">
      <c r="A21" s="305"/>
      <c r="B21" s="305"/>
      <c r="C21" s="305"/>
      <c r="I21" s="305"/>
    </row>
    <row r="22" spans="1:14" ht="15">
      <c r="A22" s="325" t="s">
        <v>354</v>
      </c>
      <c r="B22" s="325"/>
    </row>
    <row r="23" spans="1:14" ht="15">
      <c r="A23" s="325" t="s">
        <v>355</v>
      </c>
      <c r="B23" s="325"/>
    </row>
    <row r="24" spans="1:14" ht="15">
      <c r="C24" s="326"/>
      <c r="D24" s="327"/>
      <c r="E24" s="327"/>
      <c r="F24" s="327"/>
      <c r="G24" s="327"/>
      <c r="H24" s="327"/>
    </row>
    <row r="25" spans="1:14" ht="15">
      <c r="A25" s="325" t="s">
        <v>356</v>
      </c>
      <c r="B25" s="325"/>
      <c r="H25" s="1609"/>
    </row>
    <row r="26" spans="1:14" ht="15">
      <c r="A26" s="302"/>
      <c r="B26" s="302"/>
      <c r="C26" s="1610" t="s">
        <v>230</v>
      </c>
      <c r="D26" s="328"/>
      <c r="E26" s="1610" t="s">
        <v>233</v>
      </c>
      <c r="F26" s="1610" t="s">
        <v>235</v>
      </c>
      <c r="G26" s="1610" t="s">
        <v>236</v>
      </c>
      <c r="H26" s="1610" t="s">
        <v>238</v>
      </c>
      <c r="I26" s="1610" t="s">
        <v>240</v>
      </c>
      <c r="J26" s="1610" t="s">
        <v>242</v>
      </c>
    </row>
    <row r="27" spans="1:14">
      <c r="D27" s="311"/>
      <c r="F27" s="329" t="s">
        <v>357</v>
      </c>
      <c r="H27" s="329"/>
      <c r="I27" s="329"/>
      <c r="J27" s="311"/>
    </row>
    <row r="28" spans="1:14">
      <c r="A28" s="311"/>
      <c r="B28" s="311"/>
      <c r="D28" s="311"/>
      <c r="E28" s="329" t="s">
        <v>111</v>
      </c>
      <c r="F28" s="329" t="s">
        <v>358</v>
      </c>
      <c r="G28" s="329" t="s">
        <v>359</v>
      </c>
      <c r="H28" s="329" t="s">
        <v>360</v>
      </c>
      <c r="I28" s="329" t="s">
        <v>361</v>
      </c>
      <c r="J28" s="311"/>
    </row>
    <row r="29" spans="1:14" ht="15">
      <c r="A29" s="325" t="s">
        <v>284</v>
      </c>
      <c r="B29" s="325"/>
      <c r="C29" s="1844" t="s">
        <v>362</v>
      </c>
      <c r="D29" s="1844"/>
      <c r="E29" s="329" t="s">
        <v>363</v>
      </c>
      <c r="F29" s="329" t="s">
        <v>364</v>
      </c>
      <c r="G29" s="329" t="s">
        <v>364</v>
      </c>
      <c r="H29" s="329" t="s">
        <v>364</v>
      </c>
      <c r="I29" s="329" t="s">
        <v>364</v>
      </c>
      <c r="J29" s="1611" t="s">
        <v>365</v>
      </c>
    </row>
    <row r="30" spans="1:14">
      <c r="D30" s="311"/>
      <c r="I30" s="305"/>
      <c r="J30" s="311"/>
    </row>
    <row r="31" spans="1:14" ht="15">
      <c r="A31" s="1612" t="s">
        <v>366</v>
      </c>
      <c r="B31" s="1613"/>
      <c r="C31" s="1613"/>
      <c r="D31" s="1614"/>
      <c r="E31" s="1615"/>
      <c r="F31" s="1615"/>
      <c r="G31" s="1615"/>
      <c r="H31" s="1615"/>
      <c r="I31" s="1615"/>
      <c r="J31" s="1616"/>
    </row>
    <row r="32" spans="1:14" ht="12.75">
      <c r="A32" s="1470" t="s">
        <v>367</v>
      </c>
      <c r="B32" s="1471"/>
      <c r="C32" s="1617"/>
      <c r="D32" s="1618"/>
      <c r="E32" s="1619"/>
      <c r="F32" s="1619"/>
      <c r="G32" s="1619"/>
      <c r="H32" s="1619"/>
      <c r="I32" s="1619"/>
      <c r="J32" s="1620"/>
    </row>
    <row r="33" spans="1:10" ht="12.75">
      <c r="A33" s="1621">
        <v>287220</v>
      </c>
      <c r="B33" s="1622">
        <v>720.56</v>
      </c>
      <c r="C33" s="1623" t="s">
        <v>1621</v>
      </c>
      <c r="D33" s="1624"/>
      <c r="E33" s="1625">
        <v>19634111</v>
      </c>
      <c r="F33" s="1625">
        <f>E33</f>
        <v>19634111</v>
      </c>
      <c r="G33" s="1625">
        <v>0</v>
      </c>
      <c r="H33" s="1625">
        <v>0</v>
      </c>
      <c r="I33" s="1625">
        <v>0</v>
      </c>
      <c r="J33" s="1626" t="s">
        <v>1919</v>
      </c>
    </row>
    <row r="34" spans="1:10" ht="25.5">
      <c r="A34" s="1627">
        <v>287300</v>
      </c>
      <c r="B34" s="1628">
        <v>920.18200000000002</v>
      </c>
      <c r="C34" s="1629" t="s">
        <v>368</v>
      </c>
      <c r="D34" s="1630"/>
      <c r="E34" s="1625">
        <v>5082437</v>
      </c>
      <c r="F34" s="1472">
        <v>0</v>
      </c>
      <c r="G34" s="1472">
        <v>0</v>
      </c>
      <c r="H34" s="1472">
        <v>0</v>
      </c>
      <c r="I34" s="1472">
        <f>E34</f>
        <v>5082437</v>
      </c>
      <c r="J34" s="1631" t="s">
        <v>1920</v>
      </c>
    </row>
    <row r="35" spans="1:10" ht="12.75">
      <c r="A35" s="1627">
        <v>287324</v>
      </c>
      <c r="B35" s="1628">
        <v>720.2</v>
      </c>
      <c r="C35" s="1629" t="s">
        <v>1622</v>
      </c>
      <c r="D35" s="1630"/>
      <c r="E35" s="1625">
        <v>1622068</v>
      </c>
      <c r="F35" s="1472">
        <v>0</v>
      </c>
      <c r="G35" s="1472">
        <v>0</v>
      </c>
      <c r="H35" s="1472">
        <v>0</v>
      </c>
      <c r="I35" s="1472">
        <f>E35</f>
        <v>1622068</v>
      </c>
      <c r="J35" s="1631" t="s">
        <v>369</v>
      </c>
    </row>
    <row r="36" spans="1:10" ht="25.5">
      <c r="A36" s="1627">
        <v>287326</v>
      </c>
      <c r="B36" s="1628">
        <v>720.5</v>
      </c>
      <c r="C36" s="1629" t="s">
        <v>370</v>
      </c>
      <c r="D36" s="1630"/>
      <c r="E36" s="1472">
        <v>596904</v>
      </c>
      <c r="F36" s="1472">
        <v>0</v>
      </c>
      <c r="G36" s="1472">
        <v>0</v>
      </c>
      <c r="H36" s="1472">
        <v>0</v>
      </c>
      <c r="I36" s="1472">
        <f>E36</f>
        <v>596904</v>
      </c>
      <c r="J36" s="1474" t="s">
        <v>371</v>
      </c>
    </row>
    <row r="37" spans="1:10" ht="25.5">
      <c r="A37" s="1627">
        <v>287327</v>
      </c>
      <c r="B37" s="1628">
        <v>720.3</v>
      </c>
      <c r="C37" s="1629" t="s">
        <v>1623</v>
      </c>
      <c r="D37" s="1630"/>
      <c r="E37" s="1472">
        <v>236036</v>
      </c>
      <c r="F37" s="1472">
        <f>E37</f>
        <v>236036</v>
      </c>
      <c r="G37" s="1472">
        <v>0</v>
      </c>
      <c r="H37" s="1472">
        <v>0</v>
      </c>
      <c r="I37" s="1472">
        <v>0</v>
      </c>
      <c r="J37" s="1631" t="s">
        <v>372</v>
      </c>
    </row>
    <row r="38" spans="1:10" ht="25.5">
      <c r="A38" s="1627">
        <v>287332</v>
      </c>
      <c r="B38" s="1628">
        <v>505.6</v>
      </c>
      <c r="C38" s="1629" t="s">
        <v>373</v>
      </c>
      <c r="D38" s="1630"/>
      <c r="E38" s="1472">
        <v>8114880</v>
      </c>
      <c r="F38" s="1472">
        <v>0</v>
      </c>
      <c r="G38" s="1472">
        <v>0</v>
      </c>
      <c r="H38" s="1472">
        <v>0</v>
      </c>
      <c r="I38" s="1472">
        <f>E38</f>
        <v>8114880</v>
      </c>
      <c r="J38" s="1474" t="s">
        <v>374</v>
      </c>
    </row>
    <row r="39" spans="1:10" ht="25.5">
      <c r="A39" s="1627">
        <v>287373</v>
      </c>
      <c r="B39" s="1628">
        <v>910.58</v>
      </c>
      <c r="C39" s="1629" t="s">
        <v>1624</v>
      </c>
      <c r="D39" s="1630"/>
      <c r="E39" s="1472">
        <v>319632</v>
      </c>
      <c r="F39" s="1472">
        <v>0</v>
      </c>
      <c r="G39" s="1472">
        <v>0</v>
      </c>
      <c r="H39" s="1472">
        <v>0</v>
      </c>
      <c r="I39" s="1472">
        <f>E39</f>
        <v>319632</v>
      </c>
      <c r="J39" s="1631" t="s">
        <v>1921</v>
      </c>
    </row>
    <row r="40" spans="1:10" ht="12.75">
      <c r="A40" s="1627">
        <v>287399</v>
      </c>
      <c r="B40" s="1628">
        <v>920.15</v>
      </c>
      <c r="C40" s="1629" t="s">
        <v>1625</v>
      </c>
      <c r="D40" s="1630"/>
      <c r="E40" s="1472">
        <v>3680182</v>
      </c>
      <c r="F40" s="1472">
        <v>0</v>
      </c>
      <c r="G40" s="1472">
        <v>0</v>
      </c>
      <c r="H40" s="1472">
        <v>0</v>
      </c>
      <c r="I40" s="1472">
        <f>E40</f>
        <v>3680182</v>
      </c>
      <c r="J40" s="1631" t="s">
        <v>375</v>
      </c>
    </row>
    <row r="41" spans="1:10" ht="12.75">
      <c r="A41" s="1627">
        <v>287462</v>
      </c>
      <c r="B41" s="1628">
        <v>720.82</v>
      </c>
      <c r="C41" s="1629" t="s">
        <v>377</v>
      </c>
      <c r="D41" s="1630"/>
      <c r="E41" s="1472">
        <v>9345817</v>
      </c>
      <c r="F41" s="1472">
        <f>E41</f>
        <v>9345817</v>
      </c>
      <c r="G41" s="1472">
        <v>0</v>
      </c>
      <c r="H41" s="1472">
        <v>0</v>
      </c>
      <c r="I41" s="1472">
        <v>0</v>
      </c>
      <c r="J41" s="1631" t="s">
        <v>378</v>
      </c>
    </row>
    <row r="42" spans="1:10" ht="12.75">
      <c r="A42" s="1470" t="s">
        <v>379</v>
      </c>
      <c r="B42" s="1471"/>
      <c r="C42" s="1617"/>
      <c r="D42" s="1630"/>
      <c r="E42" s="1472"/>
      <c r="F42" s="1473"/>
      <c r="G42" s="1473"/>
      <c r="H42" s="1473"/>
      <c r="I42" s="1473"/>
      <c r="J42" s="1631"/>
    </row>
    <row r="43" spans="1:10" ht="12.75">
      <c r="A43" s="1627">
        <v>287249</v>
      </c>
      <c r="B43" s="1628">
        <v>415.839</v>
      </c>
      <c r="C43" s="1617" t="s">
        <v>381</v>
      </c>
      <c r="D43" s="1630"/>
      <c r="E43" s="1472">
        <v>0</v>
      </c>
      <c r="F43" s="1472">
        <f>E43</f>
        <v>0</v>
      </c>
      <c r="G43" s="1472">
        <v>0</v>
      </c>
      <c r="H43" s="1472">
        <v>0</v>
      </c>
      <c r="I43" s="1472">
        <v>0</v>
      </c>
      <c r="J43" s="1631" t="s">
        <v>1922</v>
      </c>
    </row>
    <row r="44" spans="1:10" ht="12.75">
      <c r="A44" s="1470" t="s">
        <v>382</v>
      </c>
      <c r="B44" s="1471"/>
      <c r="C44" s="1617"/>
      <c r="D44" s="1630"/>
      <c r="E44" s="1472"/>
      <c r="F44" s="1472"/>
      <c r="G44" s="1472"/>
      <c r="H44" s="1472"/>
      <c r="I44" s="1472"/>
      <c r="J44" s="1631"/>
    </row>
    <row r="45" spans="1:10" ht="25.5">
      <c r="A45" s="1627">
        <v>286945</v>
      </c>
      <c r="B45" s="1628">
        <v>715.29499999999996</v>
      </c>
      <c r="C45" s="1617" t="s">
        <v>2052</v>
      </c>
      <c r="D45" s="1630"/>
      <c r="E45" s="1472">
        <v>0</v>
      </c>
      <c r="F45" s="1472">
        <f t="shared" ref="F45:F108" si="1">E45</f>
        <v>0</v>
      </c>
      <c r="G45" s="1472">
        <v>0</v>
      </c>
      <c r="H45" s="1472">
        <v>0</v>
      </c>
      <c r="I45" s="1472">
        <v>0</v>
      </c>
      <c r="J45" s="1631" t="s">
        <v>2053</v>
      </c>
    </row>
    <row r="46" spans="1:10" ht="25.5">
      <c r="A46" s="1627">
        <v>286952</v>
      </c>
      <c r="B46" s="1628">
        <v>715.29600000000005</v>
      </c>
      <c r="C46" s="1617" t="s">
        <v>2102</v>
      </c>
      <c r="D46" s="1630"/>
      <c r="E46" s="1472">
        <v>605113</v>
      </c>
      <c r="F46" s="1472">
        <f t="shared" si="1"/>
        <v>605113</v>
      </c>
      <c r="G46" s="1472">
        <v>0</v>
      </c>
      <c r="H46" s="1472">
        <v>0</v>
      </c>
      <c r="I46" s="1472">
        <v>0</v>
      </c>
      <c r="J46" s="1631" t="s">
        <v>2103</v>
      </c>
    </row>
    <row r="47" spans="1:10" ht="38.25">
      <c r="A47" s="1627">
        <v>287044</v>
      </c>
      <c r="B47" s="1628">
        <v>610.15599999999995</v>
      </c>
      <c r="C47" s="1617" t="s">
        <v>2224</v>
      </c>
      <c r="D47" s="1630"/>
      <c r="E47" s="1472">
        <v>155969</v>
      </c>
      <c r="F47" s="1472">
        <f t="shared" si="1"/>
        <v>155969</v>
      </c>
      <c r="G47" s="1472">
        <v>0</v>
      </c>
      <c r="H47" s="1472">
        <v>0</v>
      </c>
      <c r="I47" s="1472">
        <v>0</v>
      </c>
      <c r="J47" s="1631" t="s">
        <v>2225</v>
      </c>
    </row>
    <row r="48" spans="1:10" ht="25.5">
      <c r="A48" s="1627">
        <v>287045</v>
      </c>
      <c r="B48" s="1628">
        <v>610.15499999999997</v>
      </c>
      <c r="C48" s="1629" t="s">
        <v>1923</v>
      </c>
      <c r="D48" s="1630"/>
      <c r="E48" s="1472">
        <v>1333317</v>
      </c>
      <c r="F48" s="1472">
        <f t="shared" si="1"/>
        <v>1333317</v>
      </c>
      <c r="G48" s="1472">
        <v>0</v>
      </c>
      <c r="H48" s="1472">
        <v>0</v>
      </c>
      <c r="I48" s="1472">
        <v>0</v>
      </c>
      <c r="J48" s="1631" t="s">
        <v>1924</v>
      </c>
    </row>
    <row r="49" spans="1:10" ht="38.25">
      <c r="A49" s="1627">
        <v>287047</v>
      </c>
      <c r="B49" s="1628">
        <v>610.15</v>
      </c>
      <c r="C49" s="1629" t="s">
        <v>1925</v>
      </c>
      <c r="D49" s="1630"/>
      <c r="E49" s="1472">
        <v>3576879</v>
      </c>
      <c r="F49" s="1472">
        <f t="shared" si="1"/>
        <v>3576879</v>
      </c>
      <c r="G49" s="1472">
        <v>0</v>
      </c>
      <c r="H49" s="1472">
        <v>0</v>
      </c>
      <c r="I49" s="1472">
        <v>0</v>
      </c>
      <c r="J49" s="1631" t="s">
        <v>2226</v>
      </c>
    </row>
    <row r="50" spans="1:10" ht="38.25">
      <c r="A50" s="1627">
        <v>287048</v>
      </c>
      <c r="B50" s="1628">
        <v>705.42499999999995</v>
      </c>
      <c r="C50" s="1629" t="s">
        <v>1927</v>
      </c>
      <c r="D50" s="1630"/>
      <c r="E50" s="1472">
        <v>2403362</v>
      </c>
      <c r="F50" s="1472">
        <f t="shared" si="1"/>
        <v>2403362</v>
      </c>
      <c r="G50" s="1472">
        <v>0</v>
      </c>
      <c r="H50" s="1472">
        <v>0</v>
      </c>
      <c r="I50" s="1472">
        <v>0</v>
      </c>
      <c r="J50" s="1631" t="s">
        <v>1928</v>
      </c>
    </row>
    <row r="51" spans="1:10" ht="25.5">
      <c r="A51" s="1627">
        <v>287049</v>
      </c>
      <c r="B51" s="1628">
        <v>705.35199999999998</v>
      </c>
      <c r="C51" s="1629" t="s">
        <v>1929</v>
      </c>
      <c r="D51" s="1630"/>
      <c r="E51" s="1472">
        <v>63931</v>
      </c>
      <c r="F51" s="1472">
        <f t="shared" si="1"/>
        <v>63931</v>
      </c>
      <c r="G51" s="1472">
        <v>0</v>
      </c>
      <c r="H51" s="1472">
        <v>0</v>
      </c>
      <c r="I51" s="1472">
        <v>0</v>
      </c>
      <c r="J51" s="1631" t="s">
        <v>1930</v>
      </c>
    </row>
    <row r="52" spans="1:10" ht="38.25">
      <c r="A52" s="1627">
        <v>287055</v>
      </c>
      <c r="B52" s="1628">
        <v>705.34400000000005</v>
      </c>
      <c r="C52" s="1629" t="s">
        <v>1931</v>
      </c>
      <c r="D52" s="1630"/>
      <c r="E52" s="1472">
        <v>874185</v>
      </c>
      <c r="F52" s="1472">
        <f t="shared" si="1"/>
        <v>874185</v>
      </c>
      <c r="G52" s="1472">
        <v>0</v>
      </c>
      <c r="H52" s="1472">
        <v>0</v>
      </c>
      <c r="I52" s="1472">
        <v>0</v>
      </c>
      <c r="J52" s="1631" t="s">
        <v>1626</v>
      </c>
    </row>
    <row r="53" spans="1:10" ht="38.25">
      <c r="A53" s="1627">
        <v>287056</v>
      </c>
      <c r="B53" s="1628">
        <v>705.34500000000003</v>
      </c>
      <c r="C53" s="1629" t="s">
        <v>1932</v>
      </c>
      <c r="D53" s="1630"/>
      <c r="E53" s="1472">
        <v>0</v>
      </c>
      <c r="F53" s="1472">
        <f t="shared" si="1"/>
        <v>0</v>
      </c>
      <c r="G53" s="1472">
        <v>0</v>
      </c>
      <c r="H53" s="1472">
        <v>0</v>
      </c>
      <c r="I53" s="1472">
        <v>0</v>
      </c>
      <c r="J53" s="1631" t="s">
        <v>1933</v>
      </c>
    </row>
    <row r="54" spans="1:10" ht="25.5">
      <c r="A54" s="1627">
        <v>287058</v>
      </c>
      <c r="B54" s="1628">
        <v>100.119</v>
      </c>
      <c r="C54" s="1629" t="s">
        <v>2104</v>
      </c>
      <c r="D54" s="1630"/>
      <c r="E54" s="1472">
        <v>-13820520</v>
      </c>
      <c r="F54" s="1472">
        <f t="shared" si="1"/>
        <v>-13820520</v>
      </c>
      <c r="G54" s="1472">
        <v>0</v>
      </c>
      <c r="H54" s="1472">
        <v>0</v>
      </c>
      <c r="I54" s="1472">
        <v>0</v>
      </c>
      <c r="J54" s="1631" t="s">
        <v>2105</v>
      </c>
    </row>
    <row r="55" spans="1:10" ht="25.5">
      <c r="A55" s="1627">
        <v>287061</v>
      </c>
      <c r="B55" s="1628">
        <v>705.346</v>
      </c>
      <c r="C55" s="1629" t="s">
        <v>1627</v>
      </c>
      <c r="D55" s="1630"/>
      <c r="E55" s="1472">
        <v>0</v>
      </c>
      <c r="F55" s="1472">
        <f t="shared" si="1"/>
        <v>0</v>
      </c>
      <c r="G55" s="1472">
        <v>0</v>
      </c>
      <c r="H55" s="1472">
        <v>0</v>
      </c>
      <c r="I55" s="1472">
        <v>0</v>
      </c>
      <c r="J55" s="1631" t="s">
        <v>1628</v>
      </c>
    </row>
    <row r="56" spans="1:10" ht="25.5">
      <c r="A56" s="1627">
        <v>287063</v>
      </c>
      <c r="B56" s="1628">
        <v>705.34799999999996</v>
      </c>
      <c r="C56" s="1629" t="s">
        <v>1934</v>
      </c>
      <c r="D56" s="1630"/>
      <c r="E56" s="1472">
        <v>439</v>
      </c>
      <c r="F56" s="1472">
        <f t="shared" si="1"/>
        <v>439</v>
      </c>
      <c r="G56" s="1472">
        <v>0</v>
      </c>
      <c r="H56" s="1472">
        <v>0</v>
      </c>
      <c r="I56" s="1472">
        <v>0</v>
      </c>
      <c r="J56" s="1631" t="s">
        <v>1935</v>
      </c>
    </row>
    <row r="57" spans="1:10" ht="25.5">
      <c r="A57" s="1627">
        <v>287065</v>
      </c>
      <c r="B57" s="1628">
        <v>705.35</v>
      </c>
      <c r="C57" s="1629" t="s">
        <v>1629</v>
      </c>
      <c r="D57" s="1630"/>
      <c r="E57" s="1472">
        <v>785033</v>
      </c>
      <c r="F57" s="1472">
        <f t="shared" si="1"/>
        <v>785033</v>
      </c>
      <c r="G57" s="1472">
        <v>0</v>
      </c>
      <c r="H57" s="1472">
        <v>0</v>
      </c>
      <c r="I57" s="1472">
        <v>0</v>
      </c>
      <c r="J57" s="1631" t="s">
        <v>1630</v>
      </c>
    </row>
    <row r="58" spans="1:10" ht="25.5">
      <c r="A58" s="1627">
        <v>287066</v>
      </c>
      <c r="B58" s="1628">
        <v>705.351</v>
      </c>
      <c r="C58" s="1629" t="s">
        <v>1631</v>
      </c>
      <c r="D58" s="1630"/>
      <c r="E58" s="1472">
        <v>0</v>
      </c>
      <c r="F58" s="1472">
        <f t="shared" si="1"/>
        <v>0</v>
      </c>
      <c r="G58" s="1472">
        <v>0</v>
      </c>
      <c r="H58" s="1472">
        <v>0</v>
      </c>
      <c r="I58" s="1472">
        <v>0</v>
      </c>
      <c r="J58" s="1631" t="s">
        <v>1632</v>
      </c>
    </row>
    <row r="59" spans="1:10" ht="38.25">
      <c r="A59" s="1627">
        <v>287068</v>
      </c>
      <c r="B59" s="1628">
        <v>705.30200000000002</v>
      </c>
      <c r="C59" s="1629" t="s">
        <v>2106</v>
      </c>
      <c r="D59" s="1630"/>
      <c r="E59" s="1472">
        <v>113616</v>
      </c>
      <c r="F59" s="1472">
        <f t="shared" si="1"/>
        <v>113616</v>
      </c>
      <c r="G59" s="1472">
        <v>0</v>
      </c>
      <c r="H59" s="1472">
        <v>0</v>
      </c>
      <c r="I59" s="1472">
        <v>0</v>
      </c>
      <c r="J59" s="1631" t="s">
        <v>2107</v>
      </c>
    </row>
    <row r="60" spans="1:10" ht="39.75" customHeight="1">
      <c r="A60" s="1627">
        <v>287069</v>
      </c>
      <c r="B60" s="1628">
        <v>705.24199999999996</v>
      </c>
      <c r="C60" s="1629" t="s">
        <v>2108</v>
      </c>
      <c r="D60" s="1630"/>
      <c r="E60" s="1472">
        <v>-39845</v>
      </c>
      <c r="F60" s="1472">
        <f t="shared" si="1"/>
        <v>-39845</v>
      </c>
      <c r="G60" s="1472">
        <v>0</v>
      </c>
      <c r="H60" s="1472">
        <v>0</v>
      </c>
      <c r="I60" s="1472">
        <v>0</v>
      </c>
      <c r="J60" s="1631" t="s">
        <v>2109</v>
      </c>
    </row>
    <row r="61" spans="1:10" ht="38.25">
      <c r="A61" s="1627">
        <v>287111</v>
      </c>
      <c r="B61" s="1628">
        <v>705.28700000000003</v>
      </c>
      <c r="C61" s="1629" t="s">
        <v>1633</v>
      </c>
      <c r="D61" s="1630"/>
      <c r="E61" s="1472">
        <v>6948101</v>
      </c>
      <c r="F61" s="1472">
        <f t="shared" si="1"/>
        <v>6948101</v>
      </c>
      <c r="G61" s="1472">
        <v>0</v>
      </c>
      <c r="H61" s="1472">
        <v>0</v>
      </c>
      <c r="I61" s="1472">
        <v>0</v>
      </c>
      <c r="J61" s="1631" t="s">
        <v>1634</v>
      </c>
    </row>
    <row r="62" spans="1:10" ht="38.25">
      <c r="A62" s="1627">
        <v>287112</v>
      </c>
      <c r="B62" s="1628">
        <v>705.28800000000001</v>
      </c>
      <c r="C62" s="1629" t="s">
        <v>1635</v>
      </c>
      <c r="D62" s="1630"/>
      <c r="E62" s="1472">
        <v>17764224</v>
      </c>
      <c r="F62" s="1472">
        <f t="shared" si="1"/>
        <v>17764224</v>
      </c>
      <c r="G62" s="1472">
        <v>0</v>
      </c>
      <c r="H62" s="1472">
        <v>0</v>
      </c>
      <c r="I62" s="1472">
        <v>0</v>
      </c>
      <c r="J62" s="1631" t="s">
        <v>1636</v>
      </c>
    </row>
    <row r="63" spans="1:10" ht="38.25">
      <c r="A63" s="1627">
        <v>287113</v>
      </c>
      <c r="B63" s="1628">
        <v>705.28899999999999</v>
      </c>
      <c r="C63" s="1629" t="s">
        <v>1637</v>
      </c>
      <c r="D63" s="1630"/>
      <c r="E63" s="1472">
        <v>76973023</v>
      </c>
      <c r="F63" s="1472">
        <f t="shared" si="1"/>
        <v>76973023</v>
      </c>
      <c r="G63" s="1472">
        <v>0</v>
      </c>
      <c r="H63" s="1472">
        <v>0</v>
      </c>
      <c r="I63" s="1472">
        <v>0</v>
      </c>
      <c r="J63" s="1631" t="s">
        <v>1638</v>
      </c>
    </row>
    <row r="64" spans="1:10" ht="38.25">
      <c r="A64" s="1627">
        <v>287114</v>
      </c>
      <c r="B64" s="1628">
        <v>705.29</v>
      </c>
      <c r="C64" s="1629" t="s">
        <v>1639</v>
      </c>
      <c r="D64" s="1630"/>
      <c r="E64" s="1472">
        <v>16220984</v>
      </c>
      <c r="F64" s="1472">
        <f t="shared" si="1"/>
        <v>16220984</v>
      </c>
      <c r="G64" s="1472">
        <v>0</v>
      </c>
      <c r="H64" s="1472">
        <v>0</v>
      </c>
      <c r="I64" s="1472">
        <v>0</v>
      </c>
      <c r="J64" s="1631" t="s">
        <v>1640</v>
      </c>
    </row>
    <row r="65" spans="1:10" ht="38.25">
      <c r="A65" s="1627">
        <v>287115</v>
      </c>
      <c r="B65" s="1628">
        <v>705.29100000000005</v>
      </c>
      <c r="C65" s="1629" t="s">
        <v>1641</v>
      </c>
      <c r="D65" s="1630"/>
      <c r="E65" s="1472">
        <v>43673816</v>
      </c>
      <c r="F65" s="1472">
        <f t="shared" si="1"/>
        <v>43673816</v>
      </c>
      <c r="G65" s="1472">
        <v>0</v>
      </c>
      <c r="H65" s="1472">
        <v>0</v>
      </c>
      <c r="I65" s="1472">
        <v>0</v>
      </c>
      <c r="J65" s="1631" t="s">
        <v>1642</v>
      </c>
    </row>
    <row r="66" spans="1:10" ht="38.25">
      <c r="A66" s="1627">
        <v>287116</v>
      </c>
      <c r="B66" s="1628">
        <v>705.29200000000003</v>
      </c>
      <c r="C66" s="1629" t="s">
        <v>1643</v>
      </c>
      <c r="D66" s="1630"/>
      <c r="E66" s="1472">
        <v>137969249</v>
      </c>
      <c r="F66" s="1472">
        <f t="shared" si="1"/>
        <v>137969249</v>
      </c>
      <c r="G66" s="1472">
        <v>0</v>
      </c>
      <c r="H66" s="1472">
        <v>0</v>
      </c>
      <c r="I66" s="1472">
        <v>0</v>
      </c>
      <c r="J66" s="1631" t="s">
        <v>1644</v>
      </c>
    </row>
    <row r="67" spans="1:10" ht="38.25">
      <c r="A67" s="1627">
        <v>287121</v>
      </c>
      <c r="B67" s="1628">
        <v>705.29399999999998</v>
      </c>
      <c r="C67" s="1629" t="s">
        <v>1645</v>
      </c>
      <c r="D67" s="1630"/>
      <c r="E67" s="1472">
        <v>0</v>
      </c>
      <c r="F67" s="1472">
        <f t="shared" si="1"/>
        <v>0</v>
      </c>
      <c r="G67" s="1472">
        <v>0</v>
      </c>
      <c r="H67" s="1472">
        <v>0</v>
      </c>
      <c r="I67" s="1472">
        <v>0</v>
      </c>
      <c r="J67" s="1631" t="s">
        <v>1646</v>
      </c>
    </row>
    <row r="68" spans="1:10" ht="38.25">
      <c r="A68" s="1627">
        <v>287124</v>
      </c>
      <c r="B68" s="1628">
        <v>705.29600000000005</v>
      </c>
      <c r="C68" s="1629" t="s">
        <v>1647</v>
      </c>
      <c r="D68" s="1630"/>
      <c r="E68" s="1472">
        <v>1288856</v>
      </c>
      <c r="F68" s="1472">
        <f t="shared" si="1"/>
        <v>1288856</v>
      </c>
      <c r="G68" s="1472">
        <v>0</v>
      </c>
      <c r="H68" s="1472">
        <v>0</v>
      </c>
      <c r="I68" s="1472">
        <v>0</v>
      </c>
      <c r="J68" s="1631" t="s">
        <v>1648</v>
      </c>
    </row>
    <row r="69" spans="1:10" ht="38.25">
      <c r="A69" s="1627">
        <v>287125</v>
      </c>
      <c r="B69" s="1628">
        <v>705.29700000000003</v>
      </c>
      <c r="C69" s="1629" t="s">
        <v>1649</v>
      </c>
      <c r="D69" s="1630"/>
      <c r="E69" s="1472">
        <v>0</v>
      </c>
      <c r="F69" s="1472">
        <f t="shared" si="1"/>
        <v>0</v>
      </c>
      <c r="G69" s="1472">
        <v>0</v>
      </c>
      <c r="H69" s="1472">
        <v>0</v>
      </c>
      <c r="I69" s="1472">
        <v>0</v>
      </c>
      <c r="J69" s="1631" t="s">
        <v>1650</v>
      </c>
    </row>
    <row r="70" spans="1:10" ht="25.5">
      <c r="A70" s="1627">
        <v>287168</v>
      </c>
      <c r="B70" s="1628">
        <v>705.24599999999998</v>
      </c>
      <c r="C70" s="1629" t="s">
        <v>2227</v>
      </c>
      <c r="D70" s="1630"/>
      <c r="E70" s="1472">
        <v>776264</v>
      </c>
      <c r="F70" s="1472">
        <f t="shared" si="1"/>
        <v>776264</v>
      </c>
      <c r="G70" s="1472">
        <v>0</v>
      </c>
      <c r="H70" s="1472">
        <v>0</v>
      </c>
      <c r="I70" s="1472">
        <v>0</v>
      </c>
      <c r="J70" s="1631" t="s">
        <v>2228</v>
      </c>
    </row>
    <row r="71" spans="1:10" ht="12.75">
      <c r="A71" s="1627">
        <v>287169</v>
      </c>
      <c r="B71" s="1628">
        <v>705.20500000000004</v>
      </c>
      <c r="C71" s="1629" t="s">
        <v>2229</v>
      </c>
      <c r="D71" s="1630"/>
      <c r="E71" s="1472">
        <v>7998379</v>
      </c>
      <c r="F71" s="1472">
        <f t="shared" si="1"/>
        <v>7998379</v>
      </c>
      <c r="G71" s="1472">
        <v>0</v>
      </c>
      <c r="H71" s="1472">
        <v>0</v>
      </c>
      <c r="I71" s="1472">
        <v>0</v>
      </c>
      <c r="J71" s="1631" t="s">
        <v>2230</v>
      </c>
    </row>
    <row r="72" spans="1:10" ht="25.5">
      <c r="A72" s="1627">
        <v>287171</v>
      </c>
      <c r="B72" s="1628">
        <v>415.94</v>
      </c>
      <c r="C72" s="1629" t="s">
        <v>2110</v>
      </c>
      <c r="D72" s="1630"/>
      <c r="E72" s="1472">
        <v>365196</v>
      </c>
      <c r="F72" s="1472">
        <f t="shared" si="1"/>
        <v>365196</v>
      </c>
      <c r="G72" s="1472">
        <v>0</v>
      </c>
      <c r="H72" s="1472">
        <v>0</v>
      </c>
      <c r="I72" s="1472">
        <v>0</v>
      </c>
      <c r="J72" s="1631" t="s">
        <v>2111</v>
      </c>
    </row>
    <row r="73" spans="1:10" ht="25.5">
      <c r="A73" s="1627">
        <v>287173</v>
      </c>
      <c r="B73" s="1628">
        <v>415.94200000000001</v>
      </c>
      <c r="C73" s="1629" t="s">
        <v>1936</v>
      </c>
      <c r="D73" s="1630"/>
      <c r="E73" s="1472">
        <v>3510589</v>
      </c>
      <c r="F73" s="1472">
        <f t="shared" si="1"/>
        <v>3510589</v>
      </c>
      <c r="G73" s="1472">
        <v>0</v>
      </c>
      <c r="H73" s="1472">
        <v>0</v>
      </c>
      <c r="I73" s="1472">
        <v>0</v>
      </c>
      <c r="J73" s="1631" t="s">
        <v>1937</v>
      </c>
    </row>
    <row r="74" spans="1:10" ht="14.25" customHeight="1">
      <c r="A74" s="1627">
        <v>287174</v>
      </c>
      <c r="B74" s="1628">
        <v>705.41</v>
      </c>
      <c r="C74" s="1629" t="s">
        <v>1938</v>
      </c>
      <c r="D74" s="1630"/>
      <c r="E74" s="1472">
        <v>-21789</v>
      </c>
      <c r="F74" s="1472">
        <f t="shared" si="1"/>
        <v>-21789</v>
      </c>
      <c r="G74" s="1472">
        <v>0</v>
      </c>
      <c r="H74" s="1472">
        <v>0</v>
      </c>
      <c r="I74" s="1472">
        <v>0</v>
      </c>
      <c r="J74" s="1631" t="s">
        <v>1939</v>
      </c>
    </row>
    <row r="75" spans="1:10" ht="12.75">
      <c r="A75" s="1627">
        <v>287175</v>
      </c>
      <c r="B75" s="1628">
        <v>705.41099999999994</v>
      </c>
      <c r="C75" s="1629" t="s">
        <v>1940</v>
      </c>
      <c r="D75" s="1630"/>
      <c r="E75" s="1472">
        <v>349458</v>
      </c>
      <c r="F75" s="1472">
        <f t="shared" si="1"/>
        <v>349458</v>
      </c>
      <c r="G75" s="1472">
        <v>0</v>
      </c>
      <c r="H75" s="1472">
        <v>0</v>
      </c>
      <c r="I75" s="1472">
        <v>0</v>
      </c>
      <c r="J75" s="1631" t="s">
        <v>1941</v>
      </c>
    </row>
    <row r="76" spans="1:10" ht="12.75">
      <c r="A76" s="1627">
        <v>287176</v>
      </c>
      <c r="B76" s="1628">
        <v>705.41200000000003</v>
      </c>
      <c r="C76" s="1629" t="s">
        <v>1823</v>
      </c>
      <c r="D76" s="1630"/>
      <c r="E76" s="1472">
        <v>867475</v>
      </c>
      <c r="F76" s="1472">
        <f t="shared" si="1"/>
        <v>867475</v>
      </c>
      <c r="G76" s="1472">
        <v>0</v>
      </c>
      <c r="H76" s="1472">
        <v>0</v>
      </c>
      <c r="I76" s="1472">
        <v>0</v>
      </c>
      <c r="J76" s="1631" t="s">
        <v>1824</v>
      </c>
    </row>
    <row r="77" spans="1:10" ht="12.75">
      <c r="A77" s="1627">
        <v>287177</v>
      </c>
      <c r="B77" s="1628">
        <v>705.41300000000001</v>
      </c>
      <c r="C77" s="1629" t="s">
        <v>1825</v>
      </c>
      <c r="D77" s="1630"/>
      <c r="E77" s="1472">
        <v>2675396</v>
      </c>
      <c r="F77" s="1472">
        <f t="shared" si="1"/>
        <v>2675396</v>
      </c>
      <c r="G77" s="1472">
        <v>0</v>
      </c>
      <c r="H77" s="1472">
        <v>0</v>
      </c>
      <c r="I77" s="1472">
        <v>0</v>
      </c>
      <c r="J77" s="1631" t="s">
        <v>1826</v>
      </c>
    </row>
    <row r="78" spans="1:10" ht="14.25" customHeight="1">
      <c r="A78" s="1627">
        <v>287178</v>
      </c>
      <c r="B78" s="1628">
        <v>705.41399999999999</v>
      </c>
      <c r="C78" s="1629" t="s">
        <v>1942</v>
      </c>
      <c r="D78" s="1630"/>
      <c r="E78" s="1472">
        <v>-250143</v>
      </c>
      <c r="F78" s="1472">
        <f t="shared" si="1"/>
        <v>-250143</v>
      </c>
      <c r="G78" s="1472">
        <v>0</v>
      </c>
      <c r="H78" s="1472">
        <v>0</v>
      </c>
      <c r="I78" s="1472">
        <v>0</v>
      </c>
      <c r="J78" s="1631" t="s">
        <v>1943</v>
      </c>
    </row>
    <row r="79" spans="1:10" ht="25.5">
      <c r="A79" s="1627">
        <v>287184</v>
      </c>
      <c r="B79" s="1628">
        <v>705.60500000000002</v>
      </c>
      <c r="C79" s="1629" t="s">
        <v>1944</v>
      </c>
      <c r="D79" s="1630"/>
      <c r="E79" s="1472">
        <v>2252219</v>
      </c>
      <c r="F79" s="1472">
        <f t="shared" si="1"/>
        <v>2252219</v>
      </c>
      <c r="G79" s="1472">
        <v>0</v>
      </c>
      <c r="H79" s="1472">
        <v>0</v>
      </c>
      <c r="I79" s="1472">
        <v>0</v>
      </c>
      <c r="J79" s="1631" t="s">
        <v>1855</v>
      </c>
    </row>
    <row r="80" spans="1:10" ht="25.5">
      <c r="A80" s="1627">
        <v>287188</v>
      </c>
      <c r="B80" s="1812">
        <v>100.121</v>
      </c>
      <c r="C80" s="1617" t="s">
        <v>1945</v>
      </c>
      <c r="D80" s="1630"/>
      <c r="E80" s="1472">
        <v>-76652112</v>
      </c>
      <c r="F80" s="1473">
        <f t="shared" si="1"/>
        <v>-76652112</v>
      </c>
      <c r="G80" s="1473">
        <v>0</v>
      </c>
      <c r="H80" s="1473">
        <v>0</v>
      </c>
      <c r="I80" s="1473">
        <v>0</v>
      </c>
      <c r="J80" s="1631" t="s">
        <v>1946</v>
      </c>
    </row>
    <row r="81" spans="1:10" ht="25.5">
      <c r="A81" s="1627">
        <v>287190</v>
      </c>
      <c r="B81" s="1628">
        <v>100.122</v>
      </c>
      <c r="C81" s="1633" t="s">
        <v>1947</v>
      </c>
      <c r="D81" s="1630"/>
      <c r="E81" s="1472">
        <v>343676</v>
      </c>
      <c r="F81" s="1473">
        <f t="shared" si="1"/>
        <v>343676</v>
      </c>
      <c r="G81" s="1473">
        <v>0</v>
      </c>
      <c r="H81" s="1473">
        <v>0</v>
      </c>
      <c r="I81" s="1473">
        <v>0</v>
      </c>
      <c r="J81" s="1631" t="s">
        <v>1651</v>
      </c>
    </row>
    <row r="82" spans="1:10" ht="38.25">
      <c r="A82" s="1627">
        <v>287195</v>
      </c>
      <c r="B82" s="1628">
        <v>705.28399999999999</v>
      </c>
      <c r="C82" s="1617" t="s">
        <v>1948</v>
      </c>
      <c r="D82" s="1630"/>
      <c r="E82" s="1472">
        <v>65240</v>
      </c>
      <c r="F82" s="1473">
        <f t="shared" si="1"/>
        <v>65240</v>
      </c>
      <c r="G82" s="1473">
        <v>0</v>
      </c>
      <c r="H82" s="1473">
        <v>0</v>
      </c>
      <c r="I82" s="1473">
        <v>0</v>
      </c>
      <c r="J82" s="1474" t="s">
        <v>1949</v>
      </c>
    </row>
    <row r="83" spans="1:10" ht="25.5">
      <c r="A83" s="1627">
        <v>287198</v>
      </c>
      <c r="B83" s="1628">
        <v>320.279</v>
      </c>
      <c r="C83" s="1633" t="s">
        <v>1950</v>
      </c>
      <c r="D83" s="1630"/>
      <c r="E83" s="1472">
        <v>13030508</v>
      </c>
      <c r="F83" s="1473">
        <f t="shared" si="1"/>
        <v>13030508</v>
      </c>
      <c r="G83" s="1473">
        <v>0</v>
      </c>
      <c r="H83" s="1473">
        <v>0</v>
      </c>
      <c r="I83" s="1473">
        <v>0</v>
      </c>
      <c r="J83" s="1474" t="s">
        <v>1951</v>
      </c>
    </row>
    <row r="84" spans="1:10" ht="12.75">
      <c r="A84" s="1627">
        <v>287200</v>
      </c>
      <c r="B84" s="1628">
        <v>705.26700000000005</v>
      </c>
      <c r="C84" s="1633" t="s">
        <v>1952</v>
      </c>
      <c r="D84" s="1630"/>
      <c r="E84" s="1472">
        <v>861791</v>
      </c>
      <c r="F84" s="1473">
        <f t="shared" si="1"/>
        <v>861791</v>
      </c>
      <c r="G84" s="1473">
        <v>0</v>
      </c>
      <c r="H84" s="1473">
        <v>0</v>
      </c>
      <c r="I84" s="1473">
        <v>0</v>
      </c>
      <c r="J84" s="1631" t="s">
        <v>2231</v>
      </c>
    </row>
    <row r="85" spans="1:10" ht="38.25">
      <c r="A85" s="1627">
        <v>287209</v>
      </c>
      <c r="B85" s="1628">
        <v>705.26599999999996</v>
      </c>
      <c r="C85" s="1617" t="s">
        <v>383</v>
      </c>
      <c r="D85" s="1630"/>
      <c r="E85" s="1472">
        <v>198158</v>
      </c>
      <c r="F85" s="1472">
        <f t="shared" si="1"/>
        <v>198158</v>
      </c>
      <c r="G85" s="1472">
        <v>0</v>
      </c>
      <c r="H85" s="1472">
        <v>0</v>
      </c>
      <c r="I85" s="1472">
        <v>0</v>
      </c>
      <c r="J85" s="1631" t="s">
        <v>384</v>
      </c>
    </row>
    <row r="86" spans="1:10" ht="39.75" customHeight="1">
      <c r="A86" s="1627">
        <v>287212</v>
      </c>
      <c r="B86" s="1628">
        <v>705.245</v>
      </c>
      <c r="C86" s="1617" t="s">
        <v>385</v>
      </c>
      <c r="D86" s="1630"/>
      <c r="E86" s="1472">
        <v>471963</v>
      </c>
      <c r="F86" s="1472">
        <f t="shared" si="1"/>
        <v>471963</v>
      </c>
      <c r="G86" s="1472">
        <v>0</v>
      </c>
      <c r="H86" s="1472">
        <v>0</v>
      </c>
      <c r="I86" s="1472">
        <v>0</v>
      </c>
      <c r="J86" s="1631" t="s">
        <v>2232</v>
      </c>
    </row>
    <row r="87" spans="1:10" ht="65.25" customHeight="1">
      <c r="A87" s="1627">
        <v>287225</v>
      </c>
      <c r="B87" s="1628">
        <v>605.10299999999995</v>
      </c>
      <c r="C87" s="1629" t="s">
        <v>1652</v>
      </c>
      <c r="D87" s="1630"/>
      <c r="E87" s="1472">
        <v>58225</v>
      </c>
      <c r="F87" s="1472">
        <f t="shared" si="1"/>
        <v>58225</v>
      </c>
      <c r="G87" s="1473">
        <v>0</v>
      </c>
      <c r="H87" s="1473">
        <v>0</v>
      </c>
      <c r="I87" s="1473">
        <v>0</v>
      </c>
      <c r="J87" s="1474" t="s">
        <v>1954</v>
      </c>
    </row>
    <row r="88" spans="1:10" ht="38.25">
      <c r="A88" s="1627">
        <v>287237</v>
      </c>
      <c r="B88" s="1628">
        <v>705.755</v>
      </c>
      <c r="C88" s="1629" t="s">
        <v>2112</v>
      </c>
      <c r="D88" s="1630"/>
      <c r="E88" s="1472">
        <v>0</v>
      </c>
      <c r="F88" s="1472">
        <f t="shared" si="1"/>
        <v>0</v>
      </c>
      <c r="G88" s="1473">
        <v>0</v>
      </c>
      <c r="H88" s="1473">
        <v>0</v>
      </c>
      <c r="I88" s="1473">
        <v>0</v>
      </c>
      <c r="J88" s="1474" t="s">
        <v>2113</v>
      </c>
    </row>
    <row r="89" spans="1:10" ht="25.5">
      <c r="A89" s="1627">
        <v>287238</v>
      </c>
      <c r="B89" s="1628">
        <v>705.42</v>
      </c>
      <c r="C89" s="1629" t="s">
        <v>1653</v>
      </c>
      <c r="D89" s="1630"/>
      <c r="E89" s="1472">
        <v>3656347</v>
      </c>
      <c r="F89" s="1472">
        <f t="shared" si="1"/>
        <v>3656347</v>
      </c>
      <c r="G89" s="1473">
        <v>0</v>
      </c>
      <c r="H89" s="1473">
        <v>0</v>
      </c>
      <c r="I89" s="1473">
        <v>0</v>
      </c>
      <c r="J89" s="1474" t="s">
        <v>1956</v>
      </c>
    </row>
    <row r="90" spans="1:10" ht="27.95" customHeight="1">
      <c r="A90" s="1627">
        <v>287252</v>
      </c>
      <c r="B90" s="1628">
        <v>705.26300000000003</v>
      </c>
      <c r="C90" s="1629" t="s">
        <v>1957</v>
      </c>
      <c r="D90" s="1630"/>
      <c r="E90" s="1472">
        <v>13192</v>
      </c>
      <c r="F90" s="1472">
        <f t="shared" si="1"/>
        <v>13192</v>
      </c>
      <c r="G90" s="1473">
        <v>0</v>
      </c>
      <c r="H90" s="1473">
        <v>0</v>
      </c>
      <c r="I90" s="1473">
        <v>0</v>
      </c>
      <c r="J90" s="1474" t="s">
        <v>1958</v>
      </c>
    </row>
    <row r="91" spans="1:10" ht="14.25" customHeight="1">
      <c r="A91" s="1627">
        <v>287262</v>
      </c>
      <c r="B91" s="1628">
        <v>100.1</v>
      </c>
      <c r="C91" s="1629" t="s">
        <v>393</v>
      </c>
      <c r="D91" s="1630"/>
      <c r="E91" s="1472">
        <v>13663</v>
      </c>
      <c r="F91" s="1472">
        <f t="shared" si="1"/>
        <v>13663</v>
      </c>
      <c r="G91" s="1473">
        <v>0</v>
      </c>
      <c r="H91" s="1473">
        <v>0</v>
      </c>
      <c r="I91" s="1473">
        <v>0</v>
      </c>
      <c r="J91" s="1474" t="s">
        <v>394</v>
      </c>
    </row>
    <row r="92" spans="1:10" ht="25.5">
      <c r="A92" s="1627">
        <v>287271</v>
      </c>
      <c r="B92" s="1628">
        <v>705.33600000000001</v>
      </c>
      <c r="C92" s="1629" t="s">
        <v>1654</v>
      </c>
      <c r="D92" s="1630"/>
      <c r="E92" s="1472">
        <v>1346171</v>
      </c>
      <c r="F92" s="1472">
        <f t="shared" si="1"/>
        <v>1346171</v>
      </c>
      <c r="G92" s="1473">
        <v>0</v>
      </c>
      <c r="H92" s="1473">
        <v>0</v>
      </c>
      <c r="I92" s="1473">
        <v>0</v>
      </c>
      <c r="J92" s="1474" t="s">
        <v>1959</v>
      </c>
    </row>
    <row r="93" spans="1:10" ht="25.5">
      <c r="A93" s="1627">
        <v>287272</v>
      </c>
      <c r="B93" s="1628">
        <v>705.33699999999999</v>
      </c>
      <c r="C93" s="1629" t="s">
        <v>1655</v>
      </c>
      <c r="D93" s="1630"/>
      <c r="E93" s="1472">
        <v>14979</v>
      </c>
      <c r="F93" s="1472">
        <f t="shared" si="1"/>
        <v>14979</v>
      </c>
      <c r="G93" s="1473">
        <v>0</v>
      </c>
      <c r="H93" s="1473">
        <v>0</v>
      </c>
      <c r="I93" s="1473">
        <v>0</v>
      </c>
      <c r="J93" s="1474" t="s">
        <v>1656</v>
      </c>
    </row>
    <row r="94" spans="1:10" ht="25.5">
      <c r="A94" s="1627">
        <v>287274</v>
      </c>
      <c r="B94" s="1628">
        <v>705.26099999999997</v>
      </c>
      <c r="C94" s="1629" t="s">
        <v>1657</v>
      </c>
      <c r="D94" s="1630"/>
      <c r="E94" s="1472">
        <v>263865</v>
      </c>
      <c r="F94" s="1472">
        <f t="shared" si="1"/>
        <v>263865</v>
      </c>
      <c r="G94" s="1473">
        <v>0</v>
      </c>
      <c r="H94" s="1473">
        <v>0</v>
      </c>
      <c r="I94" s="1473">
        <v>0</v>
      </c>
      <c r="J94" s="1474" t="s">
        <v>1658</v>
      </c>
    </row>
    <row r="95" spans="1:10" ht="38.25">
      <c r="A95" s="1627">
        <v>287284</v>
      </c>
      <c r="B95" s="1628">
        <v>610.14700000000005</v>
      </c>
      <c r="C95" s="1629" t="s">
        <v>395</v>
      </c>
      <c r="D95" s="1630"/>
      <c r="E95" s="1472">
        <f>9630645-2271577</f>
        <v>7359068</v>
      </c>
      <c r="F95" s="1472">
        <f t="shared" si="1"/>
        <v>7359068</v>
      </c>
      <c r="G95" s="1473">
        <v>0</v>
      </c>
      <c r="H95" s="1473">
        <v>0</v>
      </c>
      <c r="I95" s="1473">
        <v>0</v>
      </c>
      <c r="J95" s="1474" t="s">
        <v>1955</v>
      </c>
    </row>
    <row r="96" spans="1:10" ht="14.25" customHeight="1">
      <c r="A96" s="1627">
        <v>287299</v>
      </c>
      <c r="B96" s="1628">
        <v>705.26499999999999</v>
      </c>
      <c r="C96" s="1629" t="s">
        <v>1660</v>
      </c>
      <c r="D96" s="1630"/>
      <c r="E96" s="1472">
        <v>2274160</v>
      </c>
      <c r="F96" s="1472">
        <f t="shared" si="1"/>
        <v>2274160</v>
      </c>
      <c r="G96" s="1473">
        <v>0</v>
      </c>
      <c r="H96" s="1473">
        <v>0</v>
      </c>
      <c r="I96" s="1473">
        <v>0</v>
      </c>
      <c r="J96" s="1474" t="s">
        <v>396</v>
      </c>
    </row>
    <row r="97" spans="1:10" ht="25.5">
      <c r="A97" s="1627">
        <v>287304</v>
      </c>
      <c r="B97" s="1628">
        <v>610.14599999999996</v>
      </c>
      <c r="C97" s="1629" t="s">
        <v>397</v>
      </c>
      <c r="D97" s="1630"/>
      <c r="E97" s="1472">
        <v>22522</v>
      </c>
      <c r="F97" s="1472">
        <f t="shared" si="1"/>
        <v>22522</v>
      </c>
      <c r="G97" s="1473">
        <v>0</v>
      </c>
      <c r="H97" s="1473">
        <v>0</v>
      </c>
      <c r="I97" s="1473">
        <v>0</v>
      </c>
      <c r="J97" s="1474" t="s">
        <v>398</v>
      </c>
    </row>
    <row r="98" spans="1:10" ht="27.95" customHeight="1">
      <c r="A98" s="1627">
        <v>287309</v>
      </c>
      <c r="B98" s="1628">
        <v>705.2</v>
      </c>
      <c r="C98" s="1629" t="s">
        <v>2233</v>
      </c>
      <c r="D98" s="1630"/>
      <c r="E98" s="1472">
        <v>60142</v>
      </c>
      <c r="F98" s="1472">
        <f t="shared" si="1"/>
        <v>60142</v>
      </c>
      <c r="G98" s="1473">
        <v>0</v>
      </c>
      <c r="H98" s="1473">
        <v>0</v>
      </c>
      <c r="I98" s="1473">
        <v>0</v>
      </c>
      <c r="J98" s="1474" t="s">
        <v>2234</v>
      </c>
    </row>
    <row r="99" spans="1:10" ht="27.95" customHeight="1">
      <c r="A99" s="1627">
        <v>287312</v>
      </c>
      <c r="B99" s="1628">
        <v>105.402</v>
      </c>
      <c r="C99" s="1629" t="s">
        <v>399</v>
      </c>
      <c r="D99" s="1630"/>
      <c r="E99" s="1472">
        <v>16851366</v>
      </c>
      <c r="F99" s="1472">
        <f t="shared" si="1"/>
        <v>16851366</v>
      </c>
      <c r="G99" s="1473">
        <v>0</v>
      </c>
      <c r="H99" s="1473">
        <v>0</v>
      </c>
      <c r="I99" s="1473">
        <v>0</v>
      </c>
      <c r="J99" s="1474" t="s">
        <v>400</v>
      </c>
    </row>
    <row r="100" spans="1:10" ht="27.95" customHeight="1">
      <c r="A100" s="1627">
        <v>287314</v>
      </c>
      <c r="B100" s="1628">
        <v>415.7</v>
      </c>
      <c r="C100" s="1629" t="s">
        <v>2235</v>
      </c>
      <c r="D100" s="1630"/>
      <c r="E100" s="1472">
        <v>451824</v>
      </c>
      <c r="F100" s="1472">
        <f t="shared" si="1"/>
        <v>451824</v>
      </c>
      <c r="G100" s="1473">
        <v>0</v>
      </c>
      <c r="H100" s="1473">
        <v>0</v>
      </c>
      <c r="I100" s="1473">
        <v>0</v>
      </c>
      <c r="J100" s="1474" t="s">
        <v>2236</v>
      </c>
    </row>
    <row r="101" spans="1:10" ht="27.95" customHeight="1">
      <c r="A101" s="1627">
        <v>287389</v>
      </c>
      <c r="B101" s="1628">
        <v>610.14499999999998</v>
      </c>
      <c r="C101" s="1629" t="s">
        <v>1661</v>
      </c>
      <c r="D101" s="1630"/>
      <c r="E101" s="1472">
        <v>1289543</v>
      </c>
      <c r="F101" s="1472">
        <f t="shared" si="1"/>
        <v>1289543</v>
      </c>
      <c r="G101" s="1473">
        <v>0</v>
      </c>
      <c r="H101" s="1473">
        <v>0</v>
      </c>
      <c r="I101" s="1473">
        <v>0</v>
      </c>
      <c r="J101" s="1474" t="s">
        <v>1659</v>
      </c>
    </row>
    <row r="102" spans="1:10" ht="38.25">
      <c r="A102" s="1627">
        <v>287441</v>
      </c>
      <c r="B102" s="1628">
        <v>605.1</v>
      </c>
      <c r="C102" s="1629" t="s">
        <v>1662</v>
      </c>
      <c r="D102" s="1630"/>
      <c r="E102" s="1472">
        <v>1240271</v>
      </c>
      <c r="F102" s="1472">
        <f t="shared" si="1"/>
        <v>1240271</v>
      </c>
      <c r="G102" s="1473">
        <v>0</v>
      </c>
      <c r="H102" s="1473">
        <v>0</v>
      </c>
      <c r="I102" s="1473">
        <v>0</v>
      </c>
      <c r="J102" s="1631" t="s">
        <v>401</v>
      </c>
    </row>
    <row r="103" spans="1:10" ht="25.5">
      <c r="A103" s="1627">
        <v>287445</v>
      </c>
      <c r="B103" s="1628">
        <v>610.14200000000005</v>
      </c>
      <c r="C103" s="1629" t="s">
        <v>402</v>
      </c>
      <c r="D103" s="1630"/>
      <c r="E103" s="1472">
        <v>711937</v>
      </c>
      <c r="F103" s="1472">
        <f t="shared" si="1"/>
        <v>711937</v>
      </c>
      <c r="G103" s="1473">
        <v>0</v>
      </c>
      <c r="H103" s="1473">
        <v>0</v>
      </c>
      <c r="I103" s="1473">
        <v>0</v>
      </c>
      <c r="J103" s="1474" t="s">
        <v>2054</v>
      </c>
    </row>
    <row r="104" spans="1:10" ht="25.5">
      <c r="A104" s="1627">
        <v>287453</v>
      </c>
      <c r="B104" s="1628">
        <v>610.14300000000003</v>
      </c>
      <c r="C104" s="1629" t="s">
        <v>403</v>
      </c>
      <c r="D104" s="1630"/>
      <c r="E104" s="1472">
        <v>-265339</v>
      </c>
      <c r="F104" s="1472">
        <f t="shared" si="1"/>
        <v>-265339</v>
      </c>
      <c r="G104" s="1473">
        <v>0</v>
      </c>
      <c r="H104" s="1473">
        <v>0</v>
      </c>
      <c r="I104" s="1473">
        <v>0</v>
      </c>
      <c r="J104" s="1474" t="s">
        <v>2055</v>
      </c>
    </row>
    <row r="105" spans="1:10" ht="38.25">
      <c r="A105" s="1627">
        <v>287473</v>
      </c>
      <c r="B105" s="1628">
        <v>705.27</v>
      </c>
      <c r="C105" s="1629" t="s">
        <v>404</v>
      </c>
      <c r="D105" s="1630"/>
      <c r="E105" s="1472">
        <v>467952</v>
      </c>
      <c r="F105" s="1472">
        <f t="shared" si="1"/>
        <v>467952</v>
      </c>
      <c r="G105" s="1473">
        <v>0</v>
      </c>
      <c r="H105" s="1473">
        <v>0</v>
      </c>
      <c r="I105" s="1473">
        <v>0</v>
      </c>
      <c r="J105" s="1474" t="s">
        <v>405</v>
      </c>
    </row>
    <row r="106" spans="1:10" ht="38.25">
      <c r="A106" s="1627">
        <v>287474</v>
      </c>
      <c r="B106" s="1628">
        <v>705.27099999999996</v>
      </c>
      <c r="C106" s="1629" t="s">
        <v>406</v>
      </c>
      <c r="D106" s="1630"/>
      <c r="E106" s="1472">
        <v>150077</v>
      </c>
      <c r="F106" s="1472">
        <f t="shared" si="1"/>
        <v>150077</v>
      </c>
      <c r="G106" s="1473">
        <v>0</v>
      </c>
      <c r="H106" s="1473">
        <v>0</v>
      </c>
      <c r="I106" s="1473">
        <v>0</v>
      </c>
      <c r="J106" s="1474" t="s">
        <v>405</v>
      </c>
    </row>
    <row r="107" spans="1:10" ht="38.25">
      <c r="A107" s="1627">
        <v>287475</v>
      </c>
      <c r="B107" s="1628">
        <v>705.27200000000005</v>
      </c>
      <c r="C107" s="1629" t="s">
        <v>407</v>
      </c>
      <c r="D107" s="1630"/>
      <c r="E107" s="1472">
        <v>56875</v>
      </c>
      <c r="F107" s="1472">
        <f t="shared" si="1"/>
        <v>56875</v>
      </c>
      <c r="G107" s="1473">
        <v>0</v>
      </c>
      <c r="H107" s="1473">
        <v>0</v>
      </c>
      <c r="I107" s="1473">
        <v>0</v>
      </c>
      <c r="J107" s="1474" t="s">
        <v>405</v>
      </c>
    </row>
    <row r="108" spans="1:10" ht="38.25">
      <c r="A108" s="1627">
        <v>287476</v>
      </c>
      <c r="B108" s="1628">
        <v>705.27300000000002</v>
      </c>
      <c r="C108" s="1629" t="s">
        <v>408</v>
      </c>
      <c r="D108" s="1630"/>
      <c r="E108" s="1472">
        <v>1544766</v>
      </c>
      <c r="F108" s="1472">
        <f t="shared" si="1"/>
        <v>1544766</v>
      </c>
      <c r="G108" s="1473">
        <v>0</v>
      </c>
      <c r="H108" s="1473">
        <v>0</v>
      </c>
      <c r="I108" s="1473">
        <v>0</v>
      </c>
      <c r="J108" s="1474" t="s">
        <v>405</v>
      </c>
    </row>
    <row r="109" spans="1:10" ht="38.25">
      <c r="A109" s="1627">
        <v>287477</v>
      </c>
      <c r="B109" s="1628">
        <v>705.274</v>
      </c>
      <c r="C109" s="1629" t="s">
        <v>409</v>
      </c>
      <c r="D109" s="1630"/>
      <c r="E109" s="1472">
        <v>60144</v>
      </c>
      <c r="F109" s="1472">
        <f t="shared" ref="F109:F110" si="2">E109</f>
        <v>60144</v>
      </c>
      <c r="G109" s="1473">
        <v>0</v>
      </c>
      <c r="H109" s="1473">
        <v>0</v>
      </c>
      <c r="I109" s="1473">
        <v>0</v>
      </c>
      <c r="J109" s="1474" t="s">
        <v>405</v>
      </c>
    </row>
    <row r="110" spans="1:10" ht="38.25">
      <c r="A110" s="1627">
        <v>287478</v>
      </c>
      <c r="B110" s="1628">
        <v>705.27499999999998</v>
      </c>
      <c r="C110" s="1629" t="s">
        <v>410</v>
      </c>
      <c r="D110" s="1630"/>
      <c r="E110" s="1472">
        <v>130749</v>
      </c>
      <c r="F110" s="1472">
        <f t="shared" si="2"/>
        <v>130749</v>
      </c>
      <c r="G110" s="1473">
        <v>0</v>
      </c>
      <c r="H110" s="1473">
        <v>0</v>
      </c>
      <c r="I110" s="1473">
        <v>0</v>
      </c>
      <c r="J110" s="1474" t="s">
        <v>411</v>
      </c>
    </row>
    <row r="111" spans="1:10" ht="12.75">
      <c r="A111" s="1470" t="s">
        <v>412</v>
      </c>
      <c r="B111" s="1628"/>
      <c r="C111" s="1617"/>
      <c r="D111" s="1630"/>
      <c r="E111" s="1472"/>
      <c r="F111" s="1472"/>
      <c r="G111" s="1473"/>
      <c r="H111" s="1473"/>
      <c r="I111" s="1473"/>
      <c r="J111" s="1631"/>
    </row>
    <row r="112" spans="1:10" ht="12.75">
      <c r="A112" s="1627">
        <v>287081</v>
      </c>
      <c r="B112" s="1628" t="s">
        <v>2237</v>
      </c>
      <c r="C112" s="1629"/>
      <c r="D112" s="1630"/>
      <c r="E112" s="1472">
        <v>21339</v>
      </c>
      <c r="F112" s="1472">
        <f>E112</f>
        <v>21339</v>
      </c>
      <c r="G112" s="1473">
        <v>0</v>
      </c>
      <c r="H112" s="1473">
        <v>0</v>
      </c>
      <c r="I112" s="1473">
        <v>0</v>
      </c>
      <c r="J112" s="1474" t="s">
        <v>2238</v>
      </c>
    </row>
    <row r="113" spans="1:10" ht="12.75">
      <c r="A113" s="1627">
        <v>287280</v>
      </c>
      <c r="B113" s="1634" t="s">
        <v>1960</v>
      </c>
      <c r="C113" s="1617"/>
      <c r="D113" s="1630"/>
      <c r="E113" s="1472">
        <v>133057</v>
      </c>
      <c r="F113" s="1472">
        <f t="shared" ref="F113:F118" si="3">E113</f>
        <v>133057</v>
      </c>
      <c r="G113" s="1473">
        <v>0</v>
      </c>
      <c r="H113" s="1473">
        <v>0</v>
      </c>
      <c r="I113" s="1473">
        <v>0</v>
      </c>
      <c r="J113" s="1631" t="s">
        <v>413</v>
      </c>
    </row>
    <row r="114" spans="1:10" ht="12.75">
      <c r="A114" s="1627">
        <v>287281</v>
      </c>
      <c r="B114" s="1634" t="s">
        <v>421</v>
      </c>
      <c r="C114" s="1617"/>
      <c r="D114" s="1630"/>
      <c r="E114" s="1472">
        <v>275386</v>
      </c>
      <c r="F114" s="1472">
        <f>E114</f>
        <v>275386</v>
      </c>
      <c r="G114" s="1473">
        <v>0</v>
      </c>
      <c r="H114" s="1473">
        <v>0</v>
      </c>
      <c r="I114" s="1473">
        <v>0</v>
      </c>
      <c r="J114" s="1631" t="s">
        <v>422</v>
      </c>
    </row>
    <row r="115" spans="1:10" ht="12.75">
      <c r="A115" s="1627">
        <v>287437</v>
      </c>
      <c r="B115" s="1635" t="s">
        <v>1663</v>
      </c>
      <c r="C115" s="1617"/>
      <c r="D115" s="1630"/>
      <c r="E115" s="1472">
        <v>91904243</v>
      </c>
      <c r="F115" s="1472">
        <f t="shared" si="3"/>
        <v>91904243</v>
      </c>
      <c r="G115" s="1473">
        <v>0</v>
      </c>
      <c r="H115" s="1473">
        <v>0</v>
      </c>
      <c r="I115" s="1473">
        <v>0</v>
      </c>
      <c r="J115" s="1631" t="s">
        <v>414</v>
      </c>
    </row>
    <row r="116" spans="1:10" ht="25.5">
      <c r="A116" s="1627">
        <v>287449</v>
      </c>
      <c r="B116" s="1634" t="s">
        <v>415</v>
      </c>
      <c r="C116" s="1617"/>
      <c r="D116" s="1630"/>
      <c r="E116" s="1472">
        <v>-19327833</v>
      </c>
      <c r="F116" s="1472">
        <f t="shared" si="3"/>
        <v>-19327833</v>
      </c>
      <c r="G116" s="1473">
        <v>0</v>
      </c>
      <c r="H116" s="1473">
        <v>0</v>
      </c>
      <c r="I116" s="1473">
        <v>0</v>
      </c>
      <c r="J116" s="1631" t="s">
        <v>416</v>
      </c>
    </row>
    <row r="117" spans="1:10" ht="12.75">
      <c r="A117" s="1627">
        <v>287494</v>
      </c>
      <c r="B117" s="1634" t="s">
        <v>417</v>
      </c>
      <c r="C117" s="1617"/>
      <c r="D117" s="1630"/>
      <c r="E117" s="1472">
        <v>14662742</v>
      </c>
      <c r="F117" s="1472">
        <f t="shared" si="3"/>
        <v>14662742</v>
      </c>
      <c r="G117" s="1473">
        <v>0</v>
      </c>
      <c r="H117" s="1473">
        <v>0</v>
      </c>
      <c r="I117" s="1473">
        <v>0</v>
      </c>
      <c r="J117" s="1631" t="s">
        <v>418</v>
      </c>
    </row>
    <row r="118" spans="1:10" ht="12.75">
      <c r="A118" s="1627">
        <v>287269</v>
      </c>
      <c r="B118" s="1634" t="s">
        <v>419</v>
      </c>
      <c r="C118" s="1617"/>
      <c r="D118" s="1630"/>
      <c r="E118" s="1472">
        <v>96830</v>
      </c>
      <c r="F118" s="1472">
        <f t="shared" si="3"/>
        <v>96830</v>
      </c>
      <c r="G118" s="1473">
        <v>0</v>
      </c>
      <c r="H118" s="1473">
        <v>0</v>
      </c>
      <c r="I118" s="1473">
        <v>0</v>
      </c>
      <c r="J118" s="1631" t="s">
        <v>420</v>
      </c>
    </row>
    <row r="119" spans="1:10" ht="12.75">
      <c r="A119" s="1470" t="s">
        <v>423</v>
      </c>
      <c r="B119" s="1628"/>
      <c r="C119" s="1617"/>
      <c r="D119" s="1630"/>
      <c r="E119" s="1472"/>
      <c r="F119" s="1473"/>
      <c r="G119" s="1473"/>
      <c r="H119" s="1473"/>
      <c r="I119" s="1473"/>
      <c r="J119" s="1631"/>
    </row>
    <row r="120" spans="1:10" ht="25.5">
      <c r="A120" s="1627" t="s">
        <v>1961</v>
      </c>
      <c r="B120" s="1628" t="s">
        <v>2114</v>
      </c>
      <c r="C120" s="1629" t="s">
        <v>1664</v>
      </c>
      <c r="D120" s="1630"/>
      <c r="E120" s="1472">
        <f>380056934+-23971935</f>
        <v>356084999</v>
      </c>
      <c r="F120" s="1472">
        <f>E120</f>
        <v>356084999</v>
      </c>
      <c r="G120" s="1473">
        <v>0</v>
      </c>
      <c r="H120" s="1473">
        <v>0</v>
      </c>
      <c r="I120" s="1473">
        <v>0</v>
      </c>
      <c r="J120" s="1631" t="s">
        <v>1962</v>
      </c>
    </row>
    <row r="121" spans="1:10" ht="12.75">
      <c r="A121" s="1470" t="s">
        <v>424</v>
      </c>
      <c r="B121" s="1628"/>
      <c r="C121" s="1617"/>
      <c r="D121" s="1630"/>
      <c r="E121" s="1472"/>
      <c r="F121" s="1473"/>
      <c r="G121" s="1473"/>
      <c r="H121" s="1473"/>
      <c r="I121" s="1473"/>
      <c r="J121" s="1631"/>
    </row>
    <row r="122" spans="1:10" ht="12.75">
      <c r="A122" s="1627">
        <v>287339</v>
      </c>
      <c r="B122" s="1634">
        <v>105.4</v>
      </c>
      <c r="C122" s="1617" t="s">
        <v>425</v>
      </c>
      <c r="D122" s="1630"/>
      <c r="E122" s="1472">
        <v>102515279</v>
      </c>
      <c r="F122" s="1472">
        <f>E122</f>
        <v>102515279</v>
      </c>
      <c r="G122" s="1473">
        <v>0</v>
      </c>
      <c r="H122" s="1473">
        <v>0</v>
      </c>
      <c r="I122" s="1473">
        <v>0</v>
      </c>
      <c r="J122" s="1631" t="s">
        <v>426</v>
      </c>
    </row>
    <row r="123" spans="1:10" ht="12.75">
      <c r="A123" s="1470" t="s">
        <v>427</v>
      </c>
      <c r="B123" s="1471"/>
      <c r="C123" s="1617"/>
      <c r="D123" s="1630"/>
      <c r="E123" s="1472"/>
      <c r="F123" s="1473"/>
      <c r="G123" s="1473"/>
      <c r="H123" s="1473"/>
      <c r="I123" s="1473"/>
      <c r="J123" s="1631"/>
    </row>
    <row r="124" spans="1:10" ht="12.75">
      <c r="A124" s="1627">
        <v>287060</v>
      </c>
      <c r="B124" s="1628">
        <v>910.24199999999996</v>
      </c>
      <c r="C124" s="1629" t="s">
        <v>2239</v>
      </c>
      <c r="D124" s="1630"/>
      <c r="E124" s="1472">
        <v>322840</v>
      </c>
      <c r="F124" s="1472">
        <f t="shared" ref="F124:F147" si="4">E124</f>
        <v>322840</v>
      </c>
      <c r="G124" s="1473">
        <v>0</v>
      </c>
      <c r="H124" s="1473">
        <v>0</v>
      </c>
      <c r="I124" s="1473">
        <v>0</v>
      </c>
      <c r="J124" s="1474" t="s">
        <v>2240</v>
      </c>
    </row>
    <row r="125" spans="1:10" ht="15" customHeight="1">
      <c r="A125" s="1627">
        <v>287100</v>
      </c>
      <c r="B125" s="1628" t="s">
        <v>437</v>
      </c>
      <c r="C125" s="1629" t="s">
        <v>656</v>
      </c>
      <c r="D125" s="1630"/>
      <c r="E125" s="1472">
        <v>-5348030</v>
      </c>
      <c r="F125" s="1472">
        <f t="shared" si="4"/>
        <v>-5348030</v>
      </c>
      <c r="G125" s="1473">
        <v>0</v>
      </c>
      <c r="H125" s="1473">
        <v>0</v>
      </c>
      <c r="I125" s="1473">
        <v>0</v>
      </c>
      <c r="J125" s="1631" t="s">
        <v>1963</v>
      </c>
    </row>
    <row r="126" spans="1:10" ht="25.5">
      <c r="A126" s="1627">
        <v>287181</v>
      </c>
      <c r="B126" s="1811">
        <v>205.20099999999999</v>
      </c>
      <c r="C126" s="1629" t="s">
        <v>1665</v>
      </c>
      <c r="D126" s="1630"/>
      <c r="E126" s="1472">
        <v>1313391</v>
      </c>
      <c r="F126" s="1472">
        <f t="shared" si="4"/>
        <v>1313391</v>
      </c>
      <c r="G126" s="1473">
        <v>0</v>
      </c>
      <c r="H126" s="1473">
        <v>0</v>
      </c>
      <c r="I126" s="1473">
        <v>0</v>
      </c>
      <c r="J126" s="1631" t="s">
        <v>1666</v>
      </c>
    </row>
    <row r="127" spans="1:10" ht="25.5">
      <c r="A127" s="1627">
        <v>287183</v>
      </c>
      <c r="B127" s="1811">
        <v>425.16</v>
      </c>
      <c r="C127" s="1629" t="s">
        <v>1667</v>
      </c>
      <c r="D127" s="1630"/>
      <c r="E127" s="1472">
        <v>2768780</v>
      </c>
      <c r="F127" s="1473">
        <f t="shared" si="4"/>
        <v>2768780</v>
      </c>
      <c r="G127" s="1473">
        <v>0</v>
      </c>
      <c r="H127" s="1473">
        <v>0</v>
      </c>
      <c r="I127" s="1473">
        <v>0</v>
      </c>
      <c r="J127" s="1631" t="s">
        <v>1668</v>
      </c>
    </row>
    <row r="128" spans="1:10" ht="38.25">
      <c r="A128" s="1627">
        <v>287199</v>
      </c>
      <c r="B128" s="1628">
        <v>220.101</v>
      </c>
      <c r="C128" s="1633" t="s">
        <v>657</v>
      </c>
      <c r="D128" s="1630"/>
      <c r="E128" s="1472">
        <v>7520</v>
      </c>
      <c r="F128" s="1473">
        <f t="shared" si="4"/>
        <v>7520</v>
      </c>
      <c r="G128" s="1473">
        <v>0</v>
      </c>
      <c r="H128" s="1473">
        <v>0</v>
      </c>
      <c r="I128" s="1473">
        <v>0</v>
      </c>
      <c r="J128" s="1631" t="s">
        <v>1669</v>
      </c>
    </row>
    <row r="129" spans="1:10" ht="12.75">
      <c r="A129" s="1627">
        <v>287211</v>
      </c>
      <c r="B129" s="1628">
        <v>425.226</v>
      </c>
      <c r="C129" s="1629" t="s">
        <v>428</v>
      </c>
      <c r="D129" s="1630"/>
      <c r="E129" s="1472">
        <v>147809</v>
      </c>
      <c r="F129" s="1472">
        <f t="shared" si="4"/>
        <v>147809</v>
      </c>
      <c r="G129" s="1473">
        <v>0</v>
      </c>
      <c r="H129" s="1473">
        <v>0</v>
      </c>
      <c r="I129" s="1473">
        <v>0</v>
      </c>
      <c r="J129" s="1631" t="s">
        <v>429</v>
      </c>
    </row>
    <row r="130" spans="1:10" ht="12.75">
      <c r="A130" s="1627">
        <v>287214</v>
      </c>
      <c r="B130" s="1628">
        <v>910.245</v>
      </c>
      <c r="C130" s="1629" t="s">
        <v>1670</v>
      </c>
      <c r="D130" s="1630"/>
      <c r="E130" s="1472">
        <v>8894</v>
      </c>
      <c r="F130" s="1472">
        <f t="shared" si="4"/>
        <v>8894</v>
      </c>
      <c r="G130" s="1473">
        <v>0</v>
      </c>
      <c r="H130" s="1473">
        <v>0</v>
      </c>
      <c r="I130" s="1473">
        <v>0</v>
      </c>
      <c r="J130" s="1631" t="s">
        <v>430</v>
      </c>
    </row>
    <row r="131" spans="1:10" ht="12.75">
      <c r="A131" s="1627">
        <v>287216</v>
      </c>
      <c r="B131" s="1628">
        <v>605.71500000000003</v>
      </c>
      <c r="C131" s="1629" t="s">
        <v>1671</v>
      </c>
      <c r="D131" s="1630"/>
      <c r="E131" s="1472">
        <v>2513500</v>
      </c>
      <c r="F131" s="1472">
        <f t="shared" si="4"/>
        <v>2513500</v>
      </c>
      <c r="G131" s="1473">
        <v>0</v>
      </c>
      <c r="H131" s="1473">
        <v>0</v>
      </c>
      <c r="I131" s="1473">
        <v>0</v>
      </c>
      <c r="J131" s="1631" t="s">
        <v>431</v>
      </c>
    </row>
    <row r="132" spans="1:10" ht="25.5">
      <c r="A132" s="1627">
        <v>287219</v>
      </c>
      <c r="B132" s="1628">
        <v>715.81</v>
      </c>
      <c r="C132" s="1629" t="s">
        <v>1672</v>
      </c>
      <c r="D132" s="1630"/>
      <c r="E132" s="1472">
        <v>57751</v>
      </c>
      <c r="F132" s="1472">
        <f t="shared" si="4"/>
        <v>57751</v>
      </c>
      <c r="G132" s="1473">
        <v>0</v>
      </c>
      <c r="H132" s="1473">
        <v>0</v>
      </c>
      <c r="I132" s="1473">
        <v>0</v>
      </c>
      <c r="J132" s="1631" t="s">
        <v>434</v>
      </c>
    </row>
    <row r="133" spans="1:10" ht="25.5">
      <c r="A133" s="1627">
        <v>287240</v>
      </c>
      <c r="B133" s="1628">
        <v>605.30100000000004</v>
      </c>
      <c r="C133" s="1629" t="s">
        <v>1673</v>
      </c>
      <c r="D133" s="1630"/>
      <c r="E133" s="1472">
        <v>20457445</v>
      </c>
      <c r="F133" s="1472">
        <f t="shared" si="4"/>
        <v>20457445</v>
      </c>
      <c r="G133" s="1473">
        <v>0</v>
      </c>
      <c r="H133" s="1473">
        <v>0</v>
      </c>
      <c r="I133" s="1473">
        <v>0</v>
      </c>
      <c r="J133" s="1631" t="s">
        <v>435</v>
      </c>
    </row>
    <row r="134" spans="1:10" ht="25.5">
      <c r="A134" s="1627">
        <v>287241</v>
      </c>
      <c r="B134" s="1628">
        <v>605.30200000000002</v>
      </c>
      <c r="C134" s="1629" t="s">
        <v>1674</v>
      </c>
      <c r="D134" s="1630"/>
      <c r="E134" s="1472">
        <v>542896</v>
      </c>
      <c r="F134" s="1472">
        <f t="shared" si="4"/>
        <v>542896</v>
      </c>
      <c r="G134" s="1473">
        <v>0</v>
      </c>
      <c r="H134" s="1473">
        <v>0</v>
      </c>
      <c r="I134" s="1473">
        <v>0</v>
      </c>
      <c r="J134" s="1631" t="s">
        <v>436</v>
      </c>
    </row>
    <row r="135" spans="1:10" ht="25.5">
      <c r="A135" s="1627">
        <v>287253</v>
      </c>
      <c r="B135" s="1628">
        <v>705.4</v>
      </c>
      <c r="C135" s="1629" t="s">
        <v>1827</v>
      </c>
      <c r="D135" s="1630"/>
      <c r="E135" s="1472">
        <v>-899275</v>
      </c>
      <c r="F135" s="1472">
        <f t="shared" si="4"/>
        <v>-899275</v>
      </c>
      <c r="G135" s="1473">
        <v>0</v>
      </c>
      <c r="H135" s="1473">
        <v>0</v>
      </c>
      <c r="I135" s="1473">
        <v>0</v>
      </c>
      <c r="J135" s="1631" t="s">
        <v>387</v>
      </c>
    </row>
    <row r="136" spans="1:10" ht="25.5">
      <c r="A136" s="1627">
        <v>287254</v>
      </c>
      <c r="B136" s="1628">
        <v>705.45</v>
      </c>
      <c r="C136" s="1629" t="s">
        <v>1830</v>
      </c>
      <c r="D136" s="1630"/>
      <c r="E136" s="1472">
        <v>-735852</v>
      </c>
      <c r="F136" s="1472">
        <f t="shared" si="4"/>
        <v>-735852</v>
      </c>
      <c r="G136" s="1473"/>
      <c r="H136" s="1473"/>
      <c r="I136" s="1473"/>
      <c r="J136" s="1631" t="s">
        <v>1831</v>
      </c>
    </row>
    <row r="137" spans="1:10" ht="25.5">
      <c r="A137" s="1627">
        <v>287256</v>
      </c>
      <c r="B137" s="1628">
        <v>705.452</v>
      </c>
      <c r="C137" s="1629" t="s">
        <v>1964</v>
      </c>
      <c r="D137" s="1630"/>
      <c r="E137" s="1472">
        <v>-91011</v>
      </c>
      <c r="F137" s="1472">
        <f t="shared" si="4"/>
        <v>-91011</v>
      </c>
      <c r="G137" s="1473">
        <v>0</v>
      </c>
      <c r="H137" s="1473">
        <v>0</v>
      </c>
      <c r="I137" s="1473">
        <v>0</v>
      </c>
      <c r="J137" s="1631" t="s">
        <v>1965</v>
      </c>
    </row>
    <row r="138" spans="1:10" ht="25.5">
      <c r="A138" s="1627">
        <v>287257</v>
      </c>
      <c r="B138" s="1628">
        <v>705.45299999999997</v>
      </c>
      <c r="C138" s="1629" t="s">
        <v>1828</v>
      </c>
      <c r="D138" s="1630"/>
      <c r="E138" s="1472">
        <v>153562</v>
      </c>
      <c r="F138" s="1472">
        <f t="shared" si="4"/>
        <v>153562</v>
      </c>
      <c r="G138" s="1473">
        <v>0</v>
      </c>
      <c r="H138" s="1473">
        <v>0</v>
      </c>
      <c r="I138" s="1473">
        <v>0</v>
      </c>
      <c r="J138" s="1631" t="s">
        <v>389</v>
      </c>
    </row>
    <row r="139" spans="1:10" ht="15" customHeight="1">
      <c r="A139" s="1627">
        <v>287258</v>
      </c>
      <c r="B139" s="1628">
        <v>705.45399999999995</v>
      </c>
      <c r="C139" s="1629" t="s">
        <v>1829</v>
      </c>
      <c r="D139" s="1630"/>
      <c r="E139" s="1472">
        <v>-545439</v>
      </c>
      <c r="F139" s="1472">
        <f t="shared" si="4"/>
        <v>-545439</v>
      </c>
      <c r="G139" s="1473">
        <v>0</v>
      </c>
      <c r="H139" s="1473">
        <v>0</v>
      </c>
      <c r="I139" s="1473">
        <v>0</v>
      </c>
      <c r="J139" s="1631" t="s">
        <v>390</v>
      </c>
    </row>
    <row r="140" spans="1:10" ht="25.5">
      <c r="A140" s="1627">
        <v>287259</v>
      </c>
      <c r="B140" s="1628">
        <v>705.45500000000004</v>
      </c>
      <c r="C140" s="1617" t="s">
        <v>391</v>
      </c>
      <c r="D140" s="1630"/>
      <c r="E140" s="1472">
        <v>62466</v>
      </c>
      <c r="F140" s="1472">
        <f t="shared" si="4"/>
        <v>62466</v>
      </c>
      <c r="G140" s="1473">
        <v>0</v>
      </c>
      <c r="H140" s="1473">
        <v>0</v>
      </c>
      <c r="I140" s="1473">
        <v>0</v>
      </c>
      <c r="J140" s="1631" t="s">
        <v>392</v>
      </c>
    </row>
    <row r="141" spans="1:10" ht="25.5">
      <c r="A141" s="1627">
        <v>287270</v>
      </c>
      <c r="B141" s="1628" t="s">
        <v>437</v>
      </c>
      <c r="C141" s="1629" t="s">
        <v>438</v>
      </c>
      <c r="D141" s="1630"/>
      <c r="E141" s="1472">
        <v>-5257348</v>
      </c>
      <c r="F141" s="1472">
        <f t="shared" si="4"/>
        <v>-5257348</v>
      </c>
      <c r="G141" s="1473">
        <v>0</v>
      </c>
      <c r="H141" s="1473">
        <v>0</v>
      </c>
      <c r="I141" s="1473">
        <v>0</v>
      </c>
      <c r="J141" s="1631" t="s">
        <v>1966</v>
      </c>
    </row>
    <row r="142" spans="1:10" ht="51">
      <c r="A142" s="1627">
        <v>287284</v>
      </c>
      <c r="B142" s="1628">
        <v>610.14700000000005</v>
      </c>
      <c r="C142" s="1629" t="s">
        <v>395</v>
      </c>
      <c r="D142" s="1630"/>
      <c r="E142" s="1472">
        <v>2271577</v>
      </c>
      <c r="F142" s="1472">
        <f t="shared" si="4"/>
        <v>2271577</v>
      </c>
      <c r="G142" s="1473">
        <v>0</v>
      </c>
      <c r="H142" s="1473">
        <v>0</v>
      </c>
      <c r="I142" s="1473">
        <v>0</v>
      </c>
      <c r="J142" s="1474" t="s">
        <v>2241</v>
      </c>
    </row>
    <row r="143" spans="1:10" ht="25.5">
      <c r="A143" s="1627">
        <v>287290</v>
      </c>
      <c r="B143" s="1628">
        <v>425.15</v>
      </c>
      <c r="C143" s="1617" t="s">
        <v>441</v>
      </c>
      <c r="D143" s="1630"/>
      <c r="E143" s="1472">
        <v>128622</v>
      </c>
      <c r="F143" s="1472">
        <f t="shared" si="4"/>
        <v>128622</v>
      </c>
      <c r="G143" s="1473">
        <v>0</v>
      </c>
      <c r="H143" s="1473">
        <v>0</v>
      </c>
      <c r="I143" s="1473">
        <v>0</v>
      </c>
      <c r="J143" s="1631" t="s">
        <v>442</v>
      </c>
    </row>
    <row r="144" spans="1:10" ht="25.5">
      <c r="A144" s="1627">
        <v>287298</v>
      </c>
      <c r="B144" s="1628">
        <v>205.21</v>
      </c>
      <c r="C144" s="1617" t="s">
        <v>443</v>
      </c>
      <c r="D144" s="1630"/>
      <c r="E144" s="1472">
        <v>501567</v>
      </c>
      <c r="F144" s="1472">
        <f t="shared" si="4"/>
        <v>501567</v>
      </c>
      <c r="G144" s="1473">
        <v>0</v>
      </c>
      <c r="H144" s="1473">
        <v>0</v>
      </c>
      <c r="I144" s="1473">
        <v>0</v>
      </c>
      <c r="J144" s="1631" t="s">
        <v>1967</v>
      </c>
    </row>
    <row r="145" spans="1:10" ht="12.75">
      <c r="A145" s="1627">
        <v>287321</v>
      </c>
      <c r="B145" s="1628">
        <v>100.1</v>
      </c>
      <c r="C145" s="1617" t="s">
        <v>444</v>
      </c>
      <c r="D145" s="1630"/>
      <c r="E145" s="1472">
        <v>51141</v>
      </c>
      <c r="F145" s="1472">
        <f t="shared" si="4"/>
        <v>51141</v>
      </c>
      <c r="G145" s="1473">
        <v>0</v>
      </c>
      <c r="H145" s="1473">
        <v>0</v>
      </c>
      <c r="I145" s="1473">
        <v>0</v>
      </c>
      <c r="J145" s="1631" t="s">
        <v>445</v>
      </c>
    </row>
    <row r="146" spans="1:10" ht="38.25">
      <c r="A146" s="1627">
        <v>287336</v>
      </c>
      <c r="B146" s="1628">
        <v>730.12</v>
      </c>
      <c r="C146" s="1629" t="s">
        <v>2242</v>
      </c>
      <c r="D146" s="1630"/>
      <c r="E146" s="1472">
        <v>23827791</v>
      </c>
      <c r="F146" s="1472">
        <f t="shared" si="4"/>
        <v>23827791</v>
      </c>
      <c r="G146" s="1473">
        <v>0</v>
      </c>
      <c r="H146" s="1473">
        <v>0</v>
      </c>
      <c r="I146" s="1473">
        <v>0</v>
      </c>
      <c r="J146" s="1474" t="s">
        <v>2243</v>
      </c>
    </row>
    <row r="147" spans="1:10" ht="25.5">
      <c r="A147" s="1627">
        <v>287337</v>
      </c>
      <c r="B147" s="1628">
        <v>715.10500000000002</v>
      </c>
      <c r="C147" s="1617" t="s">
        <v>446</v>
      </c>
      <c r="D147" s="1630"/>
      <c r="E147" s="1472">
        <v>30876</v>
      </c>
      <c r="F147" s="1472">
        <f t="shared" si="4"/>
        <v>30876</v>
      </c>
      <c r="G147" s="1473">
        <v>0</v>
      </c>
      <c r="H147" s="1473">
        <v>0</v>
      </c>
      <c r="I147" s="1473">
        <v>0</v>
      </c>
      <c r="J147" s="1631" t="s">
        <v>447</v>
      </c>
    </row>
    <row r="148" spans="1:10" ht="38.25">
      <c r="A148" s="1627">
        <v>287338</v>
      </c>
      <c r="B148" s="1628">
        <v>415.11</v>
      </c>
      <c r="C148" s="1629" t="s">
        <v>1832</v>
      </c>
      <c r="D148" s="1630"/>
      <c r="E148" s="1472">
        <v>1724609</v>
      </c>
      <c r="F148" s="1472">
        <v>0</v>
      </c>
      <c r="G148" s="1473">
        <f>E148</f>
        <v>1724609</v>
      </c>
      <c r="H148" s="1473">
        <v>0</v>
      </c>
      <c r="I148" s="1473">
        <v>0</v>
      </c>
      <c r="J148" s="1631" t="s">
        <v>448</v>
      </c>
    </row>
    <row r="149" spans="1:10" ht="25.5">
      <c r="A149" s="1627">
        <v>287340</v>
      </c>
      <c r="B149" s="1628">
        <v>220.1</v>
      </c>
      <c r="C149" s="1629" t="s">
        <v>449</v>
      </c>
      <c r="D149" s="1630"/>
      <c r="E149" s="1472">
        <v>5713617</v>
      </c>
      <c r="F149" s="1472">
        <f t="shared" ref="F149:F156" si="5">E149</f>
        <v>5713617</v>
      </c>
      <c r="G149" s="1473">
        <v>0</v>
      </c>
      <c r="H149" s="1473">
        <v>0</v>
      </c>
      <c r="I149" s="1473">
        <v>0</v>
      </c>
      <c r="J149" s="1474" t="s">
        <v>450</v>
      </c>
    </row>
    <row r="150" spans="1:10" ht="12.75">
      <c r="A150" s="1627">
        <v>287354</v>
      </c>
      <c r="B150" s="1628">
        <v>505.15</v>
      </c>
      <c r="C150" s="1629" t="s">
        <v>1675</v>
      </c>
      <c r="D150" s="1630"/>
      <c r="E150" s="1472">
        <v>242448</v>
      </c>
      <c r="F150" s="1472">
        <f t="shared" si="5"/>
        <v>242448</v>
      </c>
      <c r="G150" s="1473">
        <v>0</v>
      </c>
      <c r="H150" s="1473">
        <v>0</v>
      </c>
      <c r="I150" s="1473">
        <v>0</v>
      </c>
      <c r="J150" s="1474" t="s">
        <v>451</v>
      </c>
    </row>
    <row r="151" spans="1:10" ht="12.75">
      <c r="A151" s="1627">
        <v>287370</v>
      </c>
      <c r="B151" s="1628">
        <v>425.21499999999997</v>
      </c>
      <c r="C151" s="1629" t="s">
        <v>1676</v>
      </c>
      <c r="D151" s="1630"/>
      <c r="E151" s="1472">
        <v>1097995</v>
      </c>
      <c r="F151" s="1472">
        <f t="shared" si="5"/>
        <v>1097995</v>
      </c>
      <c r="G151" s="1473">
        <v>0</v>
      </c>
      <c r="H151" s="1473">
        <v>0</v>
      </c>
      <c r="I151" s="1473">
        <v>0</v>
      </c>
      <c r="J151" s="1631" t="s">
        <v>452</v>
      </c>
    </row>
    <row r="152" spans="1:10" ht="25.5">
      <c r="A152" s="1627">
        <v>287391</v>
      </c>
      <c r="B152" s="1628">
        <v>425.32</v>
      </c>
      <c r="C152" s="1629" t="s">
        <v>1677</v>
      </c>
      <c r="D152" s="1630"/>
      <c r="E152" s="1472">
        <v>4773772</v>
      </c>
      <c r="F152" s="1472">
        <f t="shared" si="5"/>
        <v>4773772</v>
      </c>
      <c r="G152" s="1473">
        <v>0</v>
      </c>
      <c r="H152" s="1473">
        <v>0</v>
      </c>
      <c r="I152" s="1473">
        <v>0</v>
      </c>
      <c r="J152" s="1474" t="s">
        <v>453</v>
      </c>
    </row>
    <row r="153" spans="1:10" ht="25.5">
      <c r="A153" s="1627">
        <v>287392</v>
      </c>
      <c r="B153" s="1628">
        <v>425.12</v>
      </c>
      <c r="C153" s="1617" t="s">
        <v>454</v>
      </c>
      <c r="D153" s="1630"/>
      <c r="E153" s="1472">
        <v>3939985</v>
      </c>
      <c r="F153" s="1472">
        <f t="shared" si="5"/>
        <v>3939985</v>
      </c>
      <c r="G153" s="1473">
        <v>0</v>
      </c>
      <c r="H153" s="1473">
        <v>0</v>
      </c>
      <c r="I153" s="1473">
        <v>0</v>
      </c>
      <c r="J153" s="1631" t="s">
        <v>455</v>
      </c>
    </row>
    <row r="154" spans="1:10" ht="12.75">
      <c r="A154" s="1627">
        <v>287415</v>
      </c>
      <c r="B154" s="1628">
        <v>205.2</v>
      </c>
      <c r="C154" s="1629" t="s">
        <v>456</v>
      </c>
      <c r="D154" s="1630"/>
      <c r="E154" s="1472">
        <v>447371</v>
      </c>
      <c r="F154" s="1472">
        <f t="shared" si="5"/>
        <v>447371</v>
      </c>
      <c r="G154" s="1473">
        <v>0</v>
      </c>
      <c r="H154" s="1473">
        <v>0</v>
      </c>
      <c r="I154" s="1473">
        <v>0</v>
      </c>
      <c r="J154" s="1474" t="s">
        <v>457</v>
      </c>
    </row>
    <row r="155" spans="1:10" ht="12.75">
      <c r="A155" s="1627">
        <v>287417</v>
      </c>
      <c r="B155" s="1628">
        <v>605.71</v>
      </c>
      <c r="C155" s="1617" t="s">
        <v>458</v>
      </c>
      <c r="D155" s="1630"/>
      <c r="E155" s="1472">
        <v>477695</v>
      </c>
      <c r="F155" s="1472">
        <f t="shared" si="5"/>
        <v>477695</v>
      </c>
      <c r="G155" s="1473">
        <v>0</v>
      </c>
      <c r="H155" s="1473">
        <v>0</v>
      </c>
      <c r="I155" s="1473">
        <v>0</v>
      </c>
      <c r="J155" s="1631" t="s">
        <v>459</v>
      </c>
    </row>
    <row r="156" spans="1:10" ht="12.75">
      <c r="A156" s="1627">
        <v>287430</v>
      </c>
      <c r="B156" s="1628">
        <v>505.125</v>
      </c>
      <c r="C156" s="1629" t="s">
        <v>460</v>
      </c>
      <c r="D156" s="1630"/>
      <c r="E156" s="1472">
        <v>264668</v>
      </c>
      <c r="F156" s="1472">
        <f t="shared" si="5"/>
        <v>264668</v>
      </c>
      <c r="G156" s="1473">
        <v>0</v>
      </c>
      <c r="H156" s="1473">
        <v>0</v>
      </c>
      <c r="I156" s="1473">
        <v>0</v>
      </c>
      <c r="J156" s="1474" t="s">
        <v>461</v>
      </c>
    </row>
    <row r="157" spans="1:10" ht="38.25">
      <c r="A157" s="1627">
        <v>287447</v>
      </c>
      <c r="B157" s="1628">
        <v>720.83</v>
      </c>
      <c r="C157" s="1629" t="s">
        <v>376</v>
      </c>
      <c r="D157" s="1630"/>
      <c r="E157" s="1472">
        <v>1670905</v>
      </c>
      <c r="F157" s="1472">
        <v>0</v>
      </c>
      <c r="G157" s="1472">
        <v>0</v>
      </c>
      <c r="H157" s="1472">
        <v>0</v>
      </c>
      <c r="I157" s="1472">
        <f>E157</f>
        <v>1670905</v>
      </c>
      <c r="J157" s="1631" t="s">
        <v>1968</v>
      </c>
    </row>
    <row r="158" spans="1:10" ht="25.5">
      <c r="A158" s="1627">
        <v>287482</v>
      </c>
      <c r="B158" s="1628">
        <v>205.02500000000001</v>
      </c>
      <c r="C158" s="1617" t="s">
        <v>1570</v>
      </c>
      <c r="D158" s="1630"/>
      <c r="E158" s="1472">
        <v>1047846</v>
      </c>
      <c r="F158" s="1472">
        <f>E158</f>
        <v>1047846</v>
      </c>
      <c r="G158" s="1473">
        <v>0</v>
      </c>
      <c r="H158" s="1473">
        <v>0</v>
      </c>
      <c r="I158" s="1473">
        <v>0</v>
      </c>
      <c r="J158" s="1631" t="s">
        <v>1833</v>
      </c>
    </row>
    <row r="159" spans="1:10" ht="25.5">
      <c r="A159" s="1627">
        <v>287673</v>
      </c>
      <c r="B159" s="1628">
        <v>730.11</v>
      </c>
      <c r="C159" s="1617" t="s">
        <v>2117</v>
      </c>
      <c r="D159" s="1630"/>
      <c r="E159" s="1472">
        <v>0</v>
      </c>
      <c r="F159" s="1472">
        <f>E159</f>
        <v>0</v>
      </c>
      <c r="G159" s="1473">
        <v>0</v>
      </c>
      <c r="H159" s="1473">
        <v>0</v>
      </c>
      <c r="I159" s="1473">
        <v>0</v>
      </c>
      <c r="J159" s="1631" t="s">
        <v>380</v>
      </c>
    </row>
    <row r="160" spans="1:10" ht="12.75">
      <c r="A160" s="1627">
        <v>287807</v>
      </c>
      <c r="B160" s="1628" t="s">
        <v>437</v>
      </c>
      <c r="C160" s="1617" t="s">
        <v>462</v>
      </c>
      <c r="D160" s="1630"/>
      <c r="E160" s="1472">
        <v>5740</v>
      </c>
      <c r="F160" s="1472">
        <f>+E160</f>
        <v>5740</v>
      </c>
      <c r="G160" s="1473">
        <v>0</v>
      </c>
      <c r="H160" s="1473">
        <v>0</v>
      </c>
      <c r="I160" s="1473">
        <v>0</v>
      </c>
      <c r="J160" s="1631" t="s">
        <v>463</v>
      </c>
    </row>
    <row r="161" spans="1:14" s="1664" customFormat="1" ht="12.75">
      <c r="A161" s="1627">
        <v>287817</v>
      </c>
      <c r="B161" s="1628" t="s">
        <v>437</v>
      </c>
      <c r="C161" s="1617" t="s">
        <v>464</v>
      </c>
      <c r="D161" s="1630"/>
      <c r="E161" s="1625">
        <v>-23378</v>
      </c>
      <c r="F161" s="1472">
        <f>+E161</f>
        <v>-23378</v>
      </c>
      <c r="G161" s="1473">
        <v>0</v>
      </c>
      <c r="H161" s="1473">
        <v>0</v>
      </c>
      <c r="I161" s="1473">
        <v>0</v>
      </c>
      <c r="J161" s="1631" t="s">
        <v>465</v>
      </c>
      <c r="K161" s="305"/>
      <c r="L161" s="305"/>
      <c r="M161" s="305"/>
      <c r="N161" s="305"/>
    </row>
    <row r="162" spans="1:14" ht="12.75">
      <c r="A162" s="1627">
        <v>287827</v>
      </c>
      <c r="B162" s="1628" t="s">
        <v>437</v>
      </c>
      <c r="C162" s="1617" t="s">
        <v>466</v>
      </c>
      <c r="D162" s="1630"/>
      <c r="E162" s="1625">
        <v>1239</v>
      </c>
      <c r="F162" s="1472">
        <f>+E162</f>
        <v>1239</v>
      </c>
      <c r="G162" s="1473">
        <v>0</v>
      </c>
      <c r="H162" s="1473">
        <v>0</v>
      </c>
      <c r="I162" s="1473">
        <v>0</v>
      </c>
      <c r="J162" s="1631" t="s">
        <v>467</v>
      </c>
    </row>
    <row r="163" spans="1:14" ht="12.75">
      <c r="A163" s="1627">
        <v>287837</v>
      </c>
      <c r="B163" s="1628" t="s">
        <v>437</v>
      </c>
      <c r="C163" s="1617" t="s">
        <v>468</v>
      </c>
      <c r="D163" s="1630"/>
      <c r="E163" s="1625">
        <v>-5055</v>
      </c>
      <c r="F163" s="1472">
        <f>+E163</f>
        <v>-5055</v>
      </c>
      <c r="G163" s="1473">
        <v>0</v>
      </c>
      <c r="H163" s="1473">
        <v>0</v>
      </c>
      <c r="I163" s="1473">
        <v>0</v>
      </c>
      <c r="J163" s="1631" t="s">
        <v>469</v>
      </c>
    </row>
    <row r="164" spans="1:14" ht="12.75">
      <c r="A164" s="1627">
        <v>287953</v>
      </c>
      <c r="B164" s="1628">
        <v>220.10499999999999</v>
      </c>
      <c r="C164" s="1617" t="s">
        <v>2115</v>
      </c>
      <c r="D164" s="1630"/>
      <c r="E164" s="1625">
        <v>6968467</v>
      </c>
      <c r="F164" s="1472">
        <f>E164</f>
        <v>6968467</v>
      </c>
      <c r="G164" s="1473">
        <v>0</v>
      </c>
      <c r="H164" s="1473">
        <v>0</v>
      </c>
      <c r="I164" s="1473">
        <v>0</v>
      </c>
      <c r="J164" s="1631" t="s">
        <v>2116</v>
      </c>
    </row>
    <row r="165" spans="1:14" ht="12.75">
      <c r="A165" s="1636" t="s">
        <v>470</v>
      </c>
      <c r="B165" s="1637"/>
      <c r="C165" s="1638"/>
      <c r="D165" s="1639"/>
      <c r="E165" s="1625">
        <v>-2</v>
      </c>
      <c r="F165" s="1472">
        <f>E165</f>
        <v>-2</v>
      </c>
      <c r="G165" s="1473">
        <v>0</v>
      </c>
      <c r="H165" s="1473">
        <v>0</v>
      </c>
      <c r="I165" s="1473">
        <v>0</v>
      </c>
      <c r="J165" s="1640"/>
    </row>
    <row r="166" spans="1:14" ht="12.75">
      <c r="A166" s="1641" t="s">
        <v>471</v>
      </c>
      <c r="B166" s="1642"/>
      <c r="C166" s="1637"/>
      <c r="D166" s="1643"/>
      <c r="E166" s="1615">
        <f>SUM(E32:E165)</f>
        <v>957142003</v>
      </c>
      <c r="F166" s="1615">
        <f>SUM(F32:F165)</f>
        <v>934330386</v>
      </c>
      <c r="G166" s="1615">
        <f>SUM(G32:G165)</f>
        <v>1724609</v>
      </c>
      <c r="H166" s="1615">
        <f>SUM(H32:H165)</f>
        <v>0</v>
      </c>
      <c r="I166" s="1615">
        <f>SUM(I32:I165)</f>
        <v>21087008</v>
      </c>
      <c r="J166" s="1615"/>
    </row>
    <row r="167" spans="1:14" ht="12.75">
      <c r="A167" s="1644" t="s">
        <v>472</v>
      </c>
      <c r="B167" s="1645"/>
      <c r="C167" s="339"/>
      <c r="D167" s="1646"/>
      <c r="E167" s="1473">
        <f>+E91+E145+E80+E81+E54</f>
        <v>-90064152</v>
      </c>
      <c r="F167" s="1473">
        <f>+F91+F145+F80+F81+F54</f>
        <v>-90064152</v>
      </c>
      <c r="G167" s="1473">
        <f t="shared" ref="G167:I167" si="6">+G91+G145+G80+G81+G54</f>
        <v>0</v>
      </c>
      <c r="H167" s="1473">
        <f t="shared" si="6"/>
        <v>0</v>
      </c>
      <c r="I167" s="1473">
        <f t="shared" si="6"/>
        <v>0</v>
      </c>
      <c r="J167" s="1647"/>
    </row>
    <row r="168" spans="1:14" ht="12.75">
      <c r="A168" s="1648" t="s">
        <v>473</v>
      </c>
      <c r="B168" s="1649"/>
      <c r="C168" s="305"/>
      <c r="D168" s="1650"/>
      <c r="E168" s="1473">
        <f>+E157</f>
        <v>1670905</v>
      </c>
      <c r="F168" s="1473">
        <f t="shared" ref="F168:I168" si="7">+F157</f>
        <v>0</v>
      </c>
      <c r="G168" s="1473">
        <f t="shared" si="7"/>
        <v>0</v>
      </c>
      <c r="H168" s="1473">
        <f t="shared" si="7"/>
        <v>0</v>
      </c>
      <c r="I168" s="1473">
        <f t="shared" si="7"/>
        <v>1670905</v>
      </c>
      <c r="J168" s="1647"/>
    </row>
    <row r="169" spans="1:14" ht="12.75">
      <c r="A169" s="1641" t="s">
        <v>111</v>
      </c>
      <c r="B169" s="1642"/>
      <c r="C169" s="1637"/>
      <c r="D169" s="1643"/>
      <c r="E169" s="1615">
        <f>+E166-E167-E168</f>
        <v>1045535250</v>
      </c>
      <c r="F169" s="1615">
        <f>+F166-F167-F168</f>
        <v>1024394538</v>
      </c>
      <c r="G169" s="1615">
        <f>+G166-G167-G168</f>
        <v>1724609</v>
      </c>
      <c r="H169" s="1615">
        <f>+H166-H167-H168</f>
        <v>0</v>
      </c>
      <c r="I169" s="1615">
        <f>+I166-I167-I168</f>
        <v>19416103</v>
      </c>
      <c r="J169" s="1647"/>
    </row>
    <row r="170" spans="1:14" ht="12.75">
      <c r="A170" s="358"/>
      <c r="B170" s="358"/>
      <c r="C170" s="1651"/>
      <c r="D170" s="1651"/>
      <c r="E170" s="1466"/>
      <c r="F170" s="1652"/>
      <c r="G170" s="1466"/>
      <c r="H170" s="1653"/>
      <c r="I170" s="1654"/>
      <c r="J170" s="1466"/>
    </row>
    <row r="171" spans="1:14" ht="12.75">
      <c r="A171" s="358"/>
      <c r="B171" s="358"/>
      <c r="C171" s="1655" t="s">
        <v>474</v>
      </c>
      <c r="D171" s="1656"/>
      <c r="E171" s="1656"/>
      <c r="F171" s="1657"/>
      <c r="G171" s="1658"/>
      <c r="H171" s="1659"/>
      <c r="I171" s="1466"/>
    </row>
    <row r="172" spans="1:14" ht="12.75">
      <c r="A172" s="358"/>
      <c r="B172" s="358"/>
      <c r="C172" s="1660" t="s">
        <v>475</v>
      </c>
      <c r="D172" s="358"/>
      <c r="E172" s="358"/>
      <c r="F172" s="358"/>
      <c r="G172" s="358"/>
      <c r="H172" s="1843"/>
      <c r="I172" s="1652"/>
    </row>
    <row r="173" spans="1:14" ht="27" customHeight="1">
      <c r="A173" s="358"/>
      <c r="B173" s="358"/>
      <c r="C173" s="1660" t="s">
        <v>476</v>
      </c>
      <c r="D173" s="1466"/>
      <c r="E173" s="1466"/>
      <c r="F173" s="1466"/>
      <c r="G173" s="1654"/>
      <c r="H173" s="1661"/>
      <c r="I173" s="1466"/>
    </row>
    <row r="174" spans="1:14" ht="15" customHeight="1">
      <c r="A174" s="358"/>
      <c r="B174" s="358"/>
      <c r="C174" s="1660" t="s">
        <v>477</v>
      </c>
      <c r="D174" s="1466"/>
      <c r="E174" s="1466"/>
      <c r="F174" s="1466"/>
      <c r="G174" s="1654"/>
      <c r="H174" s="1661"/>
      <c r="I174" s="1652"/>
    </row>
    <row r="175" spans="1:14" ht="12.75">
      <c r="A175" s="358"/>
      <c r="B175" s="358"/>
      <c r="C175" s="1660" t="s">
        <v>478</v>
      </c>
      <c r="D175" s="1466"/>
      <c r="E175" s="1466"/>
      <c r="F175" s="1466"/>
      <c r="G175" s="1654"/>
      <c r="H175" s="1661"/>
      <c r="I175" s="1466"/>
    </row>
    <row r="176" spans="1:14" s="1664" customFormat="1" ht="27" customHeight="1">
      <c r="A176" s="358"/>
      <c r="B176" s="358"/>
      <c r="C176" s="1928" t="s">
        <v>479</v>
      </c>
      <c r="D176" s="1926"/>
      <c r="E176" s="1926"/>
      <c r="F176" s="1926"/>
      <c r="G176" s="1926"/>
      <c r="H176" s="1927"/>
      <c r="I176" s="1466"/>
      <c r="J176" s="305"/>
      <c r="L176" s="305"/>
    </row>
    <row r="177" spans="1:14" s="1664" customFormat="1" ht="12.75">
      <c r="A177" s="358"/>
      <c r="B177" s="358"/>
      <c r="C177" s="358"/>
      <c r="D177" s="358"/>
      <c r="E177" s="358"/>
      <c r="F177" s="358"/>
      <c r="G177" s="358"/>
      <c r="H177" s="358"/>
      <c r="I177" s="1466"/>
      <c r="J177" s="305"/>
      <c r="L177" s="305"/>
    </row>
    <row r="178" spans="1:14" s="1664" customFormat="1" ht="12.75">
      <c r="A178" s="358"/>
      <c r="B178" s="358"/>
      <c r="C178" s="1662"/>
      <c r="D178" s="1662"/>
      <c r="E178" s="1662"/>
      <c r="F178" s="1662"/>
      <c r="G178" s="1662"/>
      <c r="H178" s="1662"/>
      <c r="I178" s="1466"/>
      <c r="J178" s="305"/>
      <c r="L178" s="305"/>
    </row>
    <row r="179" spans="1:14" s="1664" customFormat="1" ht="12.75">
      <c r="A179" s="1257" t="s">
        <v>2</v>
      </c>
      <c r="B179" s="1257"/>
      <c r="C179" s="1663"/>
      <c r="D179" s="1663"/>
      <c r="E179" s="1663"/>
      <c r="F179" s="1663"/>
      <c r="G179" s="1663"/>
      <c r="H179" s="1663"/>
      <c r="I179" s="1663"/>
      <c r="L179" s="305"/>
    </row>
    <row r="180" spans="1:14" s="1664" customFormat="1" ht="12.75">
      <c r="A180" s="485"/>
      <c r="B180" s="485"/>
      <c r="C180" s="1665"/>
      <c r="D180" s="1666"/>
      <c r="E180" s="1666"/>
      <c r="F180" s="1666"/>
      <c r="G180" s="1666"/>
      <c r="H180" s="1666"/>
      <c r="I180" s="1666"/>
      <c r="L180" s="305"/>
    </row>
    <row r="181" spans="1:14" s="1664" customFormat="1" ht="12.75">
      <c r="A181" s="1667" t="s">
        <v>480</v>
      </c>
      <c r="B181" s="1667"/>
      <c r="C181" s="1662"/>
      <c r="D181" s="1662"/>
      <c r="E181" s="1662"/>
      <c r="F181" s="1662"/>
      <c r="G181" s="1662"/>
      <c r="H181" s="1662"/>
      <c r="I181" s="1662"/>
      <c r="L181" s="305"/>
    </row>
    <row r="182" spans="1:14" s="1664" customFormat="1" ht="12.75">
      <c r="A182" s="1257" t="s">
        <v>481</v>
      </c>
      <c r="B182" s="1668"/>
      <c r="C182" s="1666"/>
      <c r="D182" s="1666"/>
      <c r="E182" s="1666"/>
      <c r="F182" s="1666"/>
      <c r="G182" s="1666"/>
      <c r="H182" s="1666"/>
      <c r="I182" s="1666"/>
      <c r="L182" s="305"/>
    </row>
    <row r="183" spans="1:14" s="1664" customFormat="1" ht="12.75">
      <c r="A183" s="1669"/>
      <c r="B183" s="1669"/>
      <c r="C183" s="1610" t="s">
        <v>230</v>
      </c>
      <c r="D183" s="328"/>
      <c r="E183" s="1610" t="s">
        <v>233</v>
      </c>
      <c r="F183" s="1610" t="s">
        <v>235</v>
      </c>
      <c r="G183" s="1610" t="s">
        <v>236</v>
      </c>
      <c r="H183" s="1610" t="s">
        <v>238</v>
      </c>
      <c r="I183" s="1610" t="s">
        <v>240</v>
      </c>
      <c r="J183" s="1610" t="s">
        <v>242</v>
      </c>
      <c r="L183" s="305"/>
    </row>
    <row r="184" spans="1:14" s="1664" customFormat="1" ht="12.75">
      <c r="A184" s="1669"/>
      <c r="B184" s="1669"/>
      <c r="C184" s="1666"/>
      <c r="E184" s="1666"/>
      <c r="F184" s="1663" t="s">
        <v>357</v>
      </c>
      <c r="G184" s="1666"/>
      <c r="H184" s="1663"/>
      <c r="I184" s="1663"/>
      <c r="J184" s="1666"/>
      <c r="L184" s="305"/>
    </row>
    <row r="185" spans="1:14" s="1664" customFormat="1" ht="12.75">
      <c r="A185" s="1257"/>
      <c r="B185" s="1669"/>
      <c r="C185" s="1651"/>
      <c r="E185" s="1663" t="s">
        <v>111</v>
      </c>
      <c r="F185" s="1663" t="s">
        <v>358</v>
      </c>
      <c r="G185" s="1663" t="s">
        <v>359</v>
      </c>
      <c r="H185" s="1663" t="s">
        <v>360</v>
      </c>
      <c r="I185" s="1663" t="s">
        <v>361</v>
      </c>
      <c r="J185" s="1666"/>
      <c r="L185" s="305"/>
    </row>
    <row r="186" spans="1:14" s="1664" customFormat="1" ht="12.75">
      <c r="A186" s="1669"/>
      <c r="B186" s="1669"/>
      <c r="C186" s="1466"/>
      <c r="E186" s="1663"/>
      <c r="F186" s="1663" t="s">
        <v>364</v>
      </c>
      <c r="G186" s="1663" t="s">
        <v>364</v>
      </c>
      <c r="H186" s="1663" t="s">
        <v>364</v>
      </c>
      <c r="I186" s="1663" t="s">
        <v>364</v>
      </c>
      <c r="J186" s="1663" t="s">
        <v>365</v>
      </c>
      <c r="L186" s="305"/>
    </row>
    <row r="187" spans="1:14" s="1664" customFormat="1" ht="12.75">
      <c r="A187" s="1670" t="s">
        <v>482</v>
      </c>
      <c r="B187" s="1671"/>
      <c r="C187" s="1672"/>
      <c r="D187" s="1672"/>
      <c r="E187" s="1673"/>
      <c r="F187" s="1674"/>
      <c r="G187" s="1674"/>
      <c r="H187" s="1674"/>
      <c r="I187" s="1674"/>
      <c r="J187" s="1675"/>
      <c r="L187" s="305"/>
    </row>
    <row r="188" spans="1:14" s="1664" customFormat="1" ht="12.75">
      <c r="A188" s="1475" t="s">
        <v>483</v>
      </c>
      <c r="B188" s="1476"/>
      <c r="C188" s="1477"/>
      <c r="D188" s="1477"/>
      <c r="E188" s="1478"/>
      <c r="F188" s="1619"/>
      <c r="G188" s="1619"/>
      <c r="H188" s="1619"/>
      <c r="I188" s="1619"/>
      <c r="J188" s="1676"/>
      <c r="L188" s="305"/>
    </row>
    <row r="189" spans="1:14" s="1664" customFormat="1" ht="12.75">
      <c r="A189" s="1627">
        <v>287960</v>
      </c>
      <c r="B189" s="1628" t="s">
        <v>437</v>
      </c>
      <c r="C189" s="1617" t="s">
        <v>484</v>
      </c>
      <c r="D189" s="1630"/>
      <c r="E189" s="1677">
        <v>-111057723</v>
      </c>
      <c r="F189" s="1473">
        <f>E189</f>
        <v>-111057723</v>
      </c>
      <c r="G189" s="1473">
        <v>0</v>
      </c>
      <c r="H189" s="1473">
        <v>0</v>
      </c>
      <c r="I189" s="1473">
        <v>0</v>
      </c>
      <c r="J189" s="1631" t="s">
        <v>485</v>
      </c>
      <c r="L189" s="305"/>
      <c r="M189" s="305"/>
      <c r="N189" s="305"/>
    </row>
    <row r="190" spans="1:14" s="1664" customFormat="1" ht="12.75">
      <c r="A190" s="1678"/>
      <c r="B190" s="1628"/>
      <c r="C190" s="1617"/>
      <c r="D190" s="1630"/>
      <c r="E190" s="1677"/>
      <c r="F190" s="1677"/>
      <c r="G190" s="1677"/>
      <c r="H190" s="1677"/>
      <c r="I190" s="1677"/>
      <c r="J190" s="1631"/>
      <c r="L190" s="305"/>
    </row>
    <row r="191" spans="1:14" s="1664" customFormat="1" ht="12.75">
      <c r="A191" s="1679" t="s">
        <v>470</v>
      </c>
      <c r="B191" s="1680"/>
      <c r="C191" s="1680"/>
      <c r="D191" s="1681"/>
      <c r="E191" s="1677">
        <v>0</v>
      </c>
      <c r="F191" s="1677">
        <v>0</v>
      </c>
      <c r="G191" s="1677">
        <v>0</v>
      </c>
      <c r="H191" s="1677">
        <v>0</v>
      </c>
      <c r="I191" s="1677">
        <v>0</v>
      </c>
      <c r="J191" s="1640"/>
      <c r="L191" s="305"/>
    </row>
    <row r="192" spans="1:14" s="1664" customFormat="1" ht="12.75">
      <c r="A192" s="1641" t="s">
        <v>557</v>
      </c>
      <c r="B192" s="1642"/>
      <c r="C192" s="1637"/>
      <c r="D192" s="1643"/>
      <c r="E192" s="1682">
        <f>SUM(E189:E191)</f>
        <v>-111057723</v>
      </c>
      <c r="F192" s="1682">
        <f>SUM(F189:F191)</f>
        <v>-111057723</v>
      </c>
      <c r="G192" s="1682">
        <f>SUM(G189:G191)</f>
        <v>0</v>
      </c>
      <c r="H192" s="1682">
        <f>SUM(H189:H191)</f>
        <v>0</v>
      </c>
      <c r="I192" s="1682">
        <f>SUM(I189:I191)</f>
        <v>0</v>
      </c>
      <c r="J192" s="1674"/>
      <c r="L192" s="305"/>
    </row>
    <row r="193" spans="1:12" ht="12.75">
      <c r="A193" s="1641" t="s">
        <v>472</v>
      </c>
      <c r="B193" s="1642"/>
      <c r="C193" s="1637"/>
      <c r="D193" s="1643"/>
      <c r="E193" s="1677">
        <v>0</v>
      </c>
      <c r="F193" s="1677">
        <v>0</v>
      </c>
      <c r="G193" s="1677">
        <v>0</v>
      </c>
      <c r="H193" s="1677">
        <v>0</v>
      </c>
      <c r="I193" s="1677">
        <v>0</v>
      </c>
      <c r="J193" s="1640"/>
    </row>
    <row r="194" spans="1:12" s="1664" customFormat="1" ht="12.75">
      <c r="A194" s="1641" t="s">
        <v>473</v>
      </c>
      <c r="B194" s="1642"/>
      <c r="C194" s="1637"/>
      <c r="D194" s="1643"/>
      <c r="E194" s="1677">
        <v>0</v>
      </c>
      <c r="F194" s="1677">
        <v>0</v>
      </c>
      <c r="G194" s="1677">
        <v>0</v>
      </c>
      <c r="H194" s="1677">
        <v>0</v>
      </c>
      <c r="I194" s="1677">
        <v>0</v>
      </c>
      <c r="J194" s="1640"/>
      <c r="L194" s="305"/>
    </row>
    <row r="195" spans="1:12" s="1664" customFormat="1" ht="12.75" customHeight="1">
      <c r="A195" s="1641" t="s">
        <v>111</v>
      </c>
      <c r="B195" s="1642"/>
      <c r="C195" s="1637"/>
      <c r="D195" s="1643"/>
      <c r="E195" s="1682">
        <f>+E192-E193-E194</f>
        <v>-111057723</v>
      </c>
      <c r="F195" s="1682">
        <f>+F192-F193-F194</f>
        <v>-111057723</v>
      </c>
      <c r="G195" s="1682">
        <f>+G192-G193-G194</f>
        <v>0</v>
      </c>
      <c r="H195" s="1682">
        <f>+H192-H193-H194</f>
        <v>0</v>
      </c>
      <c r="I195" s="1683">
        <f>+I192-I193-I194</f>
        <v>0</v>
      </c>
      <c r="J195" s="1640"/>
      <c r="L195" s="305"/>
    </row>
    <row r="196" spans="1:12" s="1664" customFormat="1" ht="12.75">
      <c r="A196" s="332"/>
      <c r="B196" s="332"/>
      <c r="C196" s="1466"/>
      <c r="D196" s="1466"/>
      <c r="E196" s="1466"/>
      <c r="F196" s="1466"/>
      <c r="G196" s="1466"/>
      <c r="H196" s="1466"/>
      <c r="I196" s="1466"/>
      <c r="J196" s="305"/>
      <c r="L196" s="305"/>
    </row>
    <row r="197" spans="1:12" s="1664" customFormat="1" ht="12.75">
      <c r="A197" s="320"/>
      <c r="B197" s="320"/>
      <c r="C197" s="1655" t="s">
        <v>486</v>
      </c>
      <c r="D197" s="1297"/>
      <c r="E197" s="1297"/>
      <c r="F197" s="1297"/>
      <c r="G197" s="1684"/>
      <c r="H197" s="1685"/>
      <c r="I197" s="1666"/>
      <c r="L197" s="305"/>
    </row>
    <row r="198" spans="1:12" s="1664" customFormat="1" ht="12.75">
      <c r="A198" s="320"/>
      <c r="B198" s="320"/>
      <c r="C198" s="1929" t="s">
        <v>475</v>
      </c>
      <c r="D198" s="1930"/>
      <c r="E198" s="1930"/>
      <c r="F198" s="1930"/>
      <c r="G198" s="1930"/>
      <c r="H198" s="1931"/>
      <c r="I198" s="1666"/>
      <c r="L198" s="305"/>
    </row>
    <row r="199" spans="1:12" s="1664" customFormat="1" ht="28.5" customHeight="1">
      <c r="A199" s="320"/>
      <c r="B199" s="320"/>
      <c r="C199" s="1660" t="s">
        <v>476</v>
      </c>
      <c r="D199" s="305"/>
      <c r="E199" s="305"/>
      <c r="F199" s="305"/>
      <c r="G199" s="343"/>
      <c r="H199" s="1686"/>
      <c r="I199" s="1666"/>
      <c r="L199" s="305"/>
    </row>
    <row r="200" spans="1:12" s="1664" customFormat="1" ht="12.75">
      <c r="A200" s="320"/>
      <c r="B200" s="320"/>
      <c r="C200" s="1660" t="s">
        <v>477</v>
      </c>
      <c r="D200" s="305"/>
      <c r="E200" s="305"/>
      <c r="F200" s="305"/>
      <c r="G200" s="343"/>
      <c r="H200" s="1686"/>
      <c r="I200" s="1666"/>
      <c r="L200" s="305"/>
    </row>
    <row r="201" spans="1:12" s="1664" customFormat="1" ht="12.75">
      <c r="A201" s="320"/>
      <c r="B201" s="320"/>
      <c r="C201" s="1660" t="s">
        <v>478</v>
      </c>
      <c r="D201" s="305"/>
      <c r="E201" s="305"/>
      <c r="F201" s="305"/>
      <c r="G201" s="343"/>
      <c r="H201" s="1686"/>
      <c r="I201" s="1666"/>
      <c r="L201" s="305"/>
    </row>
    <row r="202" spans="1:12" s="1664" customFormat="1" ht="34.5" customHeight="1">
      <c r="A202" s="320"/>
      <c r="B202" s="320"/>
      <c r="C202" s="1928" t="s">
        <v>479</v>
      </c>
      <c r="D202" s="1926"/>
      <c r="E202" s="1926"/>
      <c r="F202" s="1926"/>
      <c r="G202" s="1926"/>
      <c r="H202" s="1927"/>
      <c r="L202" s="305"/>
    </row>
    <row r="203" spans="1:12" s="1664" customFormat="1" ht="12.75">
      <c r="A203" s="320"/>
      <c r="B203" s="320"/>
      <c r="C203" s="358"/>
      <c r="D203" s="358"/>
      <c r="E203" s="358"/>
      <c r="F203" s="358"/>
      <c r="G203" s="358"/>
      <c r="H203" s="358"/>
      <c r="L203" s="305"/>
    </row>
    <row r="204" spans="1:12" s="1664" customFormat="1" ht="12.75">
      <c r="A204" s="1257" t="s">
        <v>2</v>
      </c>
      <c r="B204" s="1669"/>
      <c r="C204" s="1687"/>
      <c r="D204" s="1687"/>
      <c r="E204" s="1687"/>
      <c r="F204" s="1687"/>
      <c r="G204" s="1687"/>
      <c r="H204" s="1687"/>
      <c r="L204" s="305"/>
    </row>
    <row r="205" spans="1:12" ht="12.75">
      <c r="A205" s="485"/>
      <c r="B205" s="1669"/>
      <c r="C205" s="1687"/>
      <c r="D205" s="1687"/>
      <c r="E205" s="1687"/>
      <c r="F205" s="1687"/>
      <c r="G205" s="1687"/>
      <c r="H205" s="1687"/>
      <c r="I205" s="1664"/>
      <c r="J205" s="1664"/>
    </row>
    <row r="206" spans="1:12" ht="12.75">
      <c r="A206" s="1667" t="s">
        <v>480</v>
      </c>
      <c r="B206" s="1669"/>
      <c r="C206" s="1687"/>
      <c r="D206" s="1687"/>
      <c r="E206" s="1687"/>
      <c r="F206" s="1687"/>
      <c r="G206" s="1687"/>
      <c r="H206" s="1687"/>
      <c r="I206" s="1664"/>
      <c r="J206" s="1664"/>
    </row>
    <row r="207" spans="1:12" ht="12.75">
      <c r="A207" s="1669"/>
      <c r="B207" s="1669"/>
      <c r="C207" s="1687"/>
      <c r="D207" s="1687"/>
      <c r="E207" s="1687"/>
      <c r="F207" s="1687"/>
      <c r="G207" s="1687"/>
      <c r="H207" s="1687"/>
      <c r="I207" s="1664"/>
      <c r="J207" s="1664"/>
    </row>
    <row r="208" spans="1:12" ht="12.75">
      <c r="A208" s="1257" t="s">
        <v>487</v>
      </c>
      <c r="B208" s="1667"/>
      <c r="C208" s="1662"/>
      <c r="D208" s="1662"/>
      <c r="E208" s="1662"/>
      <c r="F208" s="1662"/>
      <c r="G208" s="1662"/>
      <c r="H208" s="1662"/>
      <c r="I208" s="1662"/>
    </row>
    <row r="209" spans="1:10" ht="12.75">
      <c r="A209" s="329"/>
      <c r="B209" s="329"/>
      <c r="C209" s="1610" t="s">
        <v>230</v>
      </c>
      <c r="D209" s="328"/>
      <c r="E209" s="1610" t="s">
        <v>233</v>
      </c>
      <c r="F209" s="1610" t="s">
        <v>235</v>
      </c>
      <c r="G209" s="1610" t="s">
        <v>236</v>
      </c>
      <c r="H209" s="1610" t="s">
        <v>238</v>
      </c>
      <c r="I209" s="1610" t="s">
        <v>240</v>
      </c>
      <c r="J209" s="1610" t="s">
        <v>242</v>
      </c>
    </row>
    <row r="210" spans="1:10" ht="12.75">
      <c r="A210" s="329"/>
      <c r="B210" s="329"/>
      <c r="C210" s="329"/>
      <c r="E210" s="329"/>
      <c r="F210" s="329" t="s">
        <v>357</v>
      </c>
      <c r="G210" s="329"/>
      <c r="H210" s="329"/>
      <c r="I210" s="329"/>
      <c r="J210" s="329"/>
    </row>
    <row r="211" spans="1:10" ht="12.75">
      <c r="A211" s="1257"/>
      <c r="B211" s="1257"/>
      <c r="C211" s="329"/>
      <c r="E211" s="329" t="s">
        <v>111</v>
      </c>
      <c r="F211" s="329" t="s">
        <v>358</v>
      </c>
      <c r="G211" s="329" t="s">
        <v>359</v>
      </c>
      <c r="H211" s="329" t="s">
        <v>360</v>
      </c>
      <c r="I211" s="329" t="s">
        <v>361</v>
      </c>
      <c r="J211" s="329"/>
    </row>
    <row r="212" spans="1:10" ht="12.75">
      <c r="A212" s="329"/>
      <c r="B212" s="329"/>
      <c r="C212" s="329"/>
      <c r="E212" s="329"/>
      <c r="F212" s="329" t="s">
        <v>364</v>
      </c>
      <c r="G212" s="329" t="s">
        <v>364</v>
      </c>
      <c r="H212" s="329" t="s">
        <v>364</v>
      </c>
      <c r="I212" s="329" t="s">
        <v>364</v>
      </c>
      <c r="J212" s="329" t="s">
        <v>365</v>
      </c>
    </row>
    <row r="213" spans="1:10" ht="12.75">
      <c r="A213" s="1670" t="s">
        <v>488</v>
      </c>
      <c r="B213" s="1671"/>
      <c r="C213" s="1672"/>
      <c r="D213" s="1688"/>
      <c r="E213" s="1673"/>
      <c r="F213" s="1615"/>
      <c r="G213" s="1615"/>
      <c r="H213" s="1615"/>
      <c r="I213" s="1615"/>
      <c r="J213" s="1675"/>
    </row>
    <row r="214" spans="1:10" ht="25.5">
      <c r="A214" s="1627">
        <v>287605</v>
      </c>
      <c r="B214" s="1628">
        <v>105.14700000000001</v>
      </c>
      <c r="C214" s="1632" t="s">
        <v>489</v>
      </c>
      <c r="D214" s="1479"/>
      <c r="E214" s="1473">
        <v>-111999</v>
      </c>
      <c r="F214" s="1473">
        <f>E214</f>
        <v>-111999</v>
      </c>
      <c r="G214" s="1473">
        <v>0</v>
      </c>
      <c r="H214" s="1473">
        <v>0</v>
      </c>
      <c r="I214" s="1473">
        <v>0</v>
      </c>
      <c r="J214" s="1631" t="s">
        <v>490</v>
      </c>
    </row>
    <row r="215" spans="1:10" ht="25.5">
      <c r="A215" s="1627">
        <v>287599</v>
      </c>
      <c r="B215" s="1628">
        <v>105.16</v>
      </c>
      <c r="C215" s="1632" t="s">
        <v>491</v>
      </c>
      <c r="D215" s="1479"/>
      <c r="E215" s="1473">
        <v>-3752170</v>
      </c>
      <c r="F215" s="1473">
        <f>E215</f>
        <v>-3752170</v>
      </c>
      <c r="G215" s="1473">
        <v>0</v>
      </c>
      <c r="H215" s="1473">
        <v>0</v>
      </c>
      <c r="I215" s="1473">
        <v>0</v>
      </c>
      <c r="J215" s="1474" t="s">
        <v>492</v>
      </c>
    </row>
    <row r="216" spans="1:10" ht="25.5">
      <c r="A216" s="1627">
        <v>287766</v>
      </c>
      <c r="B216" s="1628">
        <v>610.101</v>
      </c>
      <c r="C216" s="1632" t="s">
        <v>493</v>
      </c>
      <c r="D216" s="1479"/>
      <c r="E216" s="1473">
        <v>0</v>
      </c>
      <c r="F216" s="1473">
        <f>E216</f>
        <v>0</v>
      </c>
      <c r="G216" s="1473">
        <v>0</v>
      </c>
      <c r="H216" s="1473">
        <v>0</v>
      </c>
      <c r="I216" s="1473">
        <v>0</v>
      </c>
      <c r="J216" s="1631" t="s">
        <v>494</v>
      </c>
    </row>
    <row r="217" spans="1:10" ht="12.75">
      <c r="A217" s="1627">
        <v>287610</v>
      </c>
      <c r="B217" s="1628">
        <v>105.40300000000001</v>
      </c>
      <c r="C217" s="1632" t="s">
        <v>1969</v>
      </c>
      <c r="D217" s="1479"/>
      <c r="E217" s="1473">
        <v>-23401042</v>
      </c>
      <c r="F217" s="1473">
        <f>E217</f>
        <v>-23401042</v>
      </c>
      <c r="G217" s="1473">
        <v>0</v>
      </c>
      <c r="H217" s="1473">
        <v>0</v>
      </c>
      <c r="I217" s="1473">
        <v>0</v>
      </c>
      <c r="J217" s="1631" t="s">
        <v>1970</v>
      </c>
    </row>
    <row r="218" spans="1:10" ht="12.75">
      <c r="A218" s="1627">
        <v>287605</v>
      </c>
      <c r="B218" s="1628">
        <v>105.142</v>
      </c>
      <c r="C218" s="1632" t="s">
        <v>496</v>
      </c>
      <c r="D218" s="1479"/>
      <c r="E218" s="1473">
        <v>321579297</v>
      </c>
      <c r="F218" s="1473">
        <f>E218</f>
        <v>321579297</v>
      </c>
      <c r="G218" s="1473">
        <v>0</v>
      </c>
      <c r="H218" s="1473">
        <v>0</v>
      </c>
      <c r="I218" s="1473">
        <v>0</v>
      </c>
      <c r="J218" s="1631" t="s">
        <v>497</v>
      </c>
    </row>
    <row r="219" spans="1:10" ht="25.5">
      <c r="A219" s="1627">
        <v>287704</v>
      </c>
      <c r="B219" s="1628">
        <v>105.143</v>
      </c>
      <c r="C219" s="1632" t="s">
        <v>498</v>
      </c>
      <c r="D219" s="1479"/>
      <c r="E219" s="1473">
        <v>-427751</v>
      </c>
      <c r="F219" s="1473">
        <v>0</v>
      </c>
      <c r="G219" s="1473">
        <v>0</v>
      </c>
      <c r="H219" s="1473">
        <f>E219</f>
        <v>-427751</v>
      </c>
      <c r="I219" s="1473">
        <v>0</v>
      </c>
      <c r="J219" s="1631" t="s">
        <v>499</v>
      </c>
    </row>
    <row r="220" spans="1:10" ht="12.75">
      <c r="A220" s="1627">
        <v>287605</v>
      </c>
      <c r="B220" s="1628">
        <v>105.12</v>
      </c>
      <c r="C220" s="1632" t="s">
        <v>501</v>
      </c>
      <c r="D220" s="1479"/>
      <c r="E220" s="1473">
        <v>3962701765</v>
      </c>
      <c r="F220" s="1473">
        <f t="shared" ref="F220:F225" si="8">E220</f>
        <v>3962701765</v>
      </c>
      <c r="G220" s="1473">
        <v>0</v>
      </c>
      <c r="H220" s="1473">
        <v>0</v>
      </c>
      <c r="I220" s="1473">
        <v>0</v>
      </c>
      <c r="J220" s="1631" t="s">
        <v>502</v>
      </c>
    </row>
    <row r="221" spans="1:10" ht="12.75">
      <c r="A221" s="1627">
        <v>287605</v>
      </c>
      <c r="B221" s="1628">
        <v>105.47</v>
      </c>
      <c r="C221" s="1632" t="s">
        <v>503</v>
      </c>
      <c r="D221" s="1479"/>
      <c r="E221" s="1473">
        <v>11962542</v>
      </c>
      <c r="F221" s="1473">
        <f t="shared" si="8"/>
        <v>11962542</v>
      </c>
      <c r="G221" s="1473">
        <v>0</v>
      </c>
      <c r="H221" s="1473">
        <v>0</v>
      </c>
      <c r="I221" s="1473">
        <v>0</v>
      </c>
      <c r="J221" s="1631" t="s">
        <v>1971</v>
      </c>
    </row>
    <row r="222" spans="1:10" ht="25.5">
      <c r="A222" s="1627">
        <v>287605</v>
      </c>
      <c r="B222" s="1628">
        <v>105.146</v>
      </c>
      <c r="C222" s="1632" t="s">
        <v>504</v>
      </c>
      <c r="D222" s="1479"/>
      <c r="E222" s="1473">
        <v>6106197</v>
      </c>
      <c r="F222" s="1473">
        <f t="shared" si="8"/>
        <v>6106197</v>
      </c>
      <c r="G222" s="1473">
        <v>0</v>
      </c>
      <c r="H222" s="1473">
        <v>0</v>
      </c>
      <c r="I222" s="1473">
        <v>0</v>
      </c>
      <c r="J222" s="1631" t="s">
        <v>505</v>
      </c>
    </row>
    <row r="223" spans="1:10" ht="12.75">
      <c r="A223" s="1627">
        <v>287605</v>
      </c>
      <c r="B223" s="1628">
        <v>105.137</v>
      </c>
      <c r="C223" s="1632" t="s">
        <v>506</v>
      </c>
      <c r="D223" s="1479"/>
      <c r="E223" s="1473">
        <v>-32581077</v>
      </c>
      <c r="F223" s="1473">
        <f t="shared" si="8"/>
        <v>-32581077</v>
      </c>
      <c r="G223" s="1473">
        <v>0</v>
      </c>
      <c r="H223" s="1473">
        <v>0</v>
      </c>
      <c r="I223" s="1473">
        <v>0</v>
      </c>
      <c r="J223" s="1631" t="s">
        <v>507</v>
      </c>
    </row>
    <row r="224" spans="1:10" ht="12.75">
      <c r="A224" s="1627">
        <v>287605</v>
      </c>
      <c r="B224" s="1628">
        <v>105.1</v>
      </c>
      <c r="C224" s="1632" t="s">
        <v>508</v>
      </c>
      <c r="D224" s="1479"/>
      <c r="E224" s="1473">
        <v>27025435</v>
      </c>
      <c r="F224" s="1473">
        <f t="shared" si="8"/>
        <v>27025435</v>
      </c>
      <c r="G224" s="1473">
        <v>0</v>
      </c>
      <c r="H224" s="1473">
        <v>0</v>
      </c>
      <c r="I224" s="1473">
        <v>0</v>
      </c>
      <c r="J224" s="1631" t="s">
        <v>509</v>
      </c>
    </row>
    <row r="225" spans="1:10" ht="14.45" customHeight="1">
      <c r="A225" s="1627">
        <v>287605</v>
      </c>
      <c r="B225" s="1628">
        <v>105.101</v>
      </c>
      <c r="C225" s="1632" t="s">
        <v>510</v>
      </c>
      <c r="D225" s="1479"/>
      <c r="E225" s="1473">
        <v>1565135</v>
      </c>
      <c r="F225" s="1473">
        <f t="shared" si="8"/>
        <v>1565135</v>
      </c>
      <c r="G225" s="1473">
        <v>0</v>
      </c>
      <c r="H225" s="1473">
        <v>0</v>
      </c>
      <c r="I225" s="1473">
        <v>0</v>
      </c>
      <c r="J225" s="1631" t="s">
        <v>511</v>
      </c>
    </row>
    <row r="226" spans="1:10" ht="12.75">
      <c r="A226" s="1627">
        <v>287605</v>
      </c>
      <c r="B226" s="1689" t="s">
        <v>437</v>
      </c>
      <c r="C226" s="1617" t="s">
        <v>512</v>
      </c>
      <c r="D226" s="1630"/>
      <c r="E226" s="1473">
        <v>0</v>
      </c>
      <c r="F226" s="1473">
        <v>903719384</v>
      </c>
      <c r="G226" s="1473">
        <f>-F226</f>
        <v>-903719384</v>
      </c>
      <c r="H226" s="1473">
        <v>0</v>
      </c>
      <c r="I226" s="1473">
        <v>0</v>
      </c>
      <c r="J226" s="1631" t="s">
        <v>513</v>
      </c>
    </row>
    <row r="227" spans="1:10" ht="12.75">
      <c r="A227" s="1627">
        <v>287605</v>
      </c>
      <c r="B227" s="1689" t="s">
        <v>437</v>
      </c>
      <c r="C227" s="1617" t="s">
        <v>514</v>
      </c>
      <c r="D227" s="1630"/>
      <c r="E227" s="1473">
        <v>0</v>
      </c>
      <c r="F227" s="1473">
        <v>39698733</v>
      </c>
      <c r="G227" s="1473">
        <v>0</v>
      </c>
      <c r="H227" s="1473">
        <v>0</v>
      </c>
      <c r="I227" s="1473">
        <f>-F227</f>
        <v>-39698733</v>
      </c>
      <c r="J227" s="1631" t="s">
        <v>515</v>
      </c>
    </row>
    <row r="228" spans="1:10" ht="12.75">
      <c r="A228" s="1627">
        <v>287605</v>
      </c>
      <c r="B228" s="1689" t="s">
        <v>437</v>
      </c>
      <c r="C228" s="1617" t="s">
        <v>516</v>
      </c>
      <c r="D228" s="1630"/>
      <c r="E228" s="1473">
        <v>0</v>
      </c>
      <c r="F228" s="1473">
        <v>141188855</v>
      </c>
      <c r="G228" s="1473">
        <v>0</v>
      </c>
      <c r="H228" s="1473">
        <v>0</v>
      </c>
      <c r="I228" s="1473">
        <f t="shared" ref="I228" si="9">-F228</f>
        <v>-141188855</v>
      </c>
      <c r="J228" s="1631" t="s">
        <v>517</v>
      </c>
    </row>
    <row r="229" spans="1:10" ht="25.5">
      <c r="A229" s="1627">
        <v>287605</v>
      </c>
      <c r="B229" s="1628">
        <v>105.15300000000001</v>
      </c>
      <c r="C229" s="1632" t="s">
        <v>1679</v>
      </c>
      <c r="D229" s="1479"/>
      <c r="E229" s="1473">
        <v>-57751</v>
      </c>
      <c r="F229" s="1473">
        <f t="shared" ref="F229:F239" si="10">E229</f>
        <v>-57751</v>
      </c>
      <c r="G229" s="1473">
        <v>0</v>
      </c>
      <c r="H229" s="1473">
        <v>0</v>
      </c>
      <c r="I229" s="1473">
        <v>0</v>
      </c>
      <c r="J229" s="1474" t="s">
        <v>434</v>
      </c>
    </row>
    <row r="230" spans="1:10" ht="12.75">
      <c r="A230" s="1627">
        <v>287605</v>
      </c>
      <c r="B230" s="1628">
        <v>105.13</v>
      </c>
      <c r="C230" s="1632" t="s">
        <v>518</v>
      </c>
      <c r="D230" s="1479"/>
      <c r="E230" s="1473">
        <v>457162357</v>
      </c>
      <c r="F230" s="1473">
        <f t="shared" si="10"/>
        <v>457162357</v>
      </c>
      <c r="G230" s="1473">
        <v>0</v>
      </c>
      <c r="H230" s="1473">
        <v>0</v>
      </c>
      <c r="I230" s="1473">
        <v>0</v>
      </c>
      <c r="J230" s="1631" t="s">
        <v>519</v>
      </c>
    </row>
    <row r="231" spans="1:10" ht="26.25" customHeight="1">
      <c r="A231" s="1627">
        <v>287605</v>
      </c>
      <c r="B231" s="1628">
        <v>105.175</v>
      </c>
      <c r="C231" s="1632" t="s">
        <v>520</v>
      </c>
      <c r="D231" s="1479"/>
      <c r="E231" s="1473">
        <v>-305303660</v>
      </c>
      <c r="F231" s="1473">
        <f t="shared" si="10"/>
        <v>-305303660</v>
      </c>
      <c r="G231" s="1473">
        <v>0</v>
      </c>
      <c r="H231" s="1473">
        <v>0</v>
      </c>
      <c r="I231" s="1473">
        <v>0</v>
      </c>
      <c r="J231" s="1631" t="s">
        <v>521</v>
      </c>
    </row>
    <row r="232" spans="1:10" ht="12.75">
      <c r="A232" s="1627">
        <v>287224</v>
      </c>
      <c r="B232" s="1628">
        <v>145.03</v>
      </c>
      <c r="C232" s="1632" t="s">
        <v>522</v>
      </c>
      <c r="D232" s="1479"/>
      <c r="E232" s="1473">
        <v>2743956</v>
      </c>
      <c r="F232" s="1473">
        <f t="shared" si="10"/>
        <v>2743956</v>
      </c>
      <c r="G232" s="1473">
        <v>0</v>
      </c>
      <c r="H232" s="1473">
        <v>0</v>
      </c>
      <c r="I232" s="1473">
        <v>0</v>
      </c>
      <c r="J232" s="1631" t="s">
        <v>1972</v>
      </c>
    </row>
    <row r="233" spans="1:10" ht="51">
      <c r="A233" s="1627">
        <v>287605</v>
      </c>
      <c r="B233" s="1628">
        <v>105.14100000000001</v>
      </c>
      <c r="C233" s="1632" t="s">
        <v>523</v>
      </c>
      <c r="D233" s="1479"/>
      <c r="E233" s="1473">
        <v>-243946143</v>
      </c>
      <c r="F233" s="1473">
        <f t="shared" si="10"/>
        <v>-243946143</v>
      </c>
      <c r="G233" s="1473">
        <v>0</v>
      </c>
      <c r="H233" s="1473">
        <v>0</v>
      </c>
      <c r="I233" s="1473">
        <v>0</v>
      </c>
      <c r="J233" s="1631" t="s">
        <v>524</v>
      </c>
    </row>
    <row r="234" spans="1:10" ht="28.5" customHeight="1">
      <c r="A234" s="1627">
        <v>287607</v>
      </c>
      <c r="B234" s="1628">
        <v>105.117</v>
      </c>
      <c r="C234" s="1632" t="s">
        <v>658</v>
      </c>
      <c r="D234" s="1479"/>
      <c r="E234" s="1473">
        <v>-1054142</v>
      </c>
      <c r="F234" s="1473">
        <f t="shared" si="10"/>
        <v>-1054142</v>
      </c>
      <c r="G234" s="1473">
        <v>0</v>
      </c>
      <c r="H234" s="1473">
        <v>0</v>
      </c>
      <c r="I234" s="1473">
        <v>0</v>
      </c>
      <c r="J234" s="1631" t="s">
        <v>1680</v>
      </c>
    </row>
    <row r="235" spans="1:10" ht="76.5">
      <c r="A235" s="1627">
        <v>287605</v>
      </c>
      <c r="B235" s="1628">
        <v>105.11499999999999</v>
      </c>
      <c r="C235" s="1632" t="s">
        <v>525</v>
      </c>
      <c r="D235" s="1479"/>
      <c r="E235" s="1473">
        <v>-3699451</v>
      </c>
      <c r="F235" s="1473">
        <f t="shared" si="10"/>
        <v>-3699451</v>
      </c>
      <c r="G235" s="1473">
        <v>0</v>
      </c>
      <c r="H235" s="1473">
        <v>0</v>
      </c>
      <c r="I235" s="1473">
        <v>0</v>
      </c>
      <c r="J235" s="1474" t="s">
        <v>1681</v>
      </c>
    </row>
    <row r="236" spans="1:10" ht="51">
      <c r="A236" s="1627">
        <v>287605</v>
      </c>
      <c r="B236" s="1628">
        <v>105.139</v>
      </c>
      <c r="C236" s="1632" t="s">
        <v>526</v>
      </c>
      <c r="D236" s="1479"/>
      <c r="E236" s="1473">
        <v>-236798118</v>
      </c>
      <c r="F236" s="1473">
        <f t="shared" si="10"/>
        <v>-236798118</v>
      </c>
      <c r="G236" s="1473">
        <v>0</v>
      </c>
      <c r="H236" s="1473">
        <v>0</v>
      </c>
      <c r="I236" s="1473">
        <v>0</v>
      </c>
      <c r="J236" s="1631" t="s">
        <v>524</v>
      </c>
    </row>
    <row r="237" spans="1:10" ht="25.5">
      <c r="A237" s="1627">
        <v>287928</v>
      </c>
      <c r="B237" s="1628">
        <v>425.31</v>
      </c>
      <c r="C237" s="1632" t="s">
        <v>527</v>
      </c>
      <c r="D237" s="1479"/>
      <c r="E237" s="1473">
        <v>-2021199</v>
      </c>
      <c r="F237" s="1473">
        <f t="shared" si="10"/>
        <v>-2021199</v>
      </c>
      <c r="G237" s="1473">
        <v>0</v>
      </c>
      <c r="H237" s="1473">
        <v>0</v>
      </c>
      <c r="I237" s="1473">
        <v>0</v>
      </c>
      <c r="J237" s="1631" t="s">
        <v>528</v>
      </c>
    </row>
    <row r="238" spans="1:10" ht="12.75">
      <c r="A238" s="1627">
        <v>287605</v>
      </c>
      <c r="B238" s="1628">
        <v>105.125</v>
      </c>
      <c r="C238" s="1632" t="s">
        <v>529</v>
      </c>
      <c r="D238" s="1479"/>
      <c r="E238" s="1473">
        <v>-6307845643</v>
      </c>
      <c r="F238" s="1473">
        <f t="shared" si="10"/>
        <v>-6307845643</v>
      </c>
      <c r="G238" s="1473">
        <v>0</v>
      </c>
      <c r="H238" s="1473">
        <v>0</v>
      </c>
      <c r="I238" s="1473">
        <v>0</v>
      </c>
      <c r="J238" s="1631" t="s">
        <v>530</v>
      </c>
    </row>
    <row r="239" spans="1:10" ht="12.75">
      <c r="A239" s="1627">
        <v>287605</v>
      </c>
      <c r="B239" s="1628">
        <v>105.152</v>
      </c>
      <c r="C239" s="1632" t="s">
        <v>531</v>
      </c>
      <c r="D239" s="1479"/>
      <c r="E239" s="1473">
        <v>-115188887</v>
      </c>
      <c r="F239" s="1473">
        <f t="shared" si="10"/>
        <v>-115188887</v>
      </c>
      <c r="G239" s="1473">
        <v>0</v>
      </c>
      <c r="H239" s="1473">
        <v>0</v>
      </c>
      <c r="I239" s="1473">
        <v>0</v>
      </c>
      <c r="J239" s="1631" t="s">
        <v>532</v>
      </c>
    </row>
    <row r="240" spans="1:10" ht="25.5">
      <c r="A240" s="1627">
        <v>287605</v>
      </c>
      <c r="B240" s="1628">
        <v>105.129</v>
      </c>
      <c r="C240" s="1632" t="s">
        <v>533</v>
      </c>
      <c r="D240" s="1479"/>
      <c r="E240" s="1473">
        <v>12353022</v>
      </c>
      <c r="F240" s="1473">
        <v>0</v>
      </c>
      <c r="G240" s="1473">
        <v>0</v>
      </c>
      <c r="H240" s="1473">
        <f>+E240</f>
        <v>12353022</v>
      </c>
      <c r="I240" s="1473">
        <v>0</v>
      </c>
      <c r="J240" s="1631" t="s">
        <v>534</v>
      </c>
    </row>
    <row r="241" spans="1:10" ht="12.75">
      <c r="A241" s="1627">
        <v>287605</v>
      </c>
      <c r="B241" s="1628">
        <v>105.131</v>
      </c>
      <c r="C241" s="1632" t="s">
        <v>1973</v>
      </c>
      <c r="D241" s="1479"/>
      <c r="E241" s="1473">
        <v>0</v>
      </c>
      <c r="F241" s="1473">
        <f t="shared" ref="F241:F247" si="11">E241</f>
        <v>0</v>
      </c>
      <c r="G241" s="1473">
        <v>0</v>
      </c>
      <c r="H241" s="1473">
        <v>0</v>
      </c>
      <c r="I241" s="1473">
        <v>0</v>
      </c>
      <c r="J241" s="1631" t="s">
        <v>1974</v>
      </c>
    </row>
    <row r="242" spans="1:10" ht="25.5">
      <c r="A242" s="1627">
        <v>287605</v>
      </c>
      <c r="B242" s="1628">
        <v>105.148</v>
      </c>
      <c r="C242" s="1632" t="s">
        <v>535</v>
      </c>
      <c r="D242" s="1479"/>
      <c r="E242" s="1473">
        <v>-306514</v>
      </c>
      <c r="F242" s="1473">
        <f t="shared" si="11"/>
        <v>-306514</v>
      </c>
      <c r="G242" s="1473">
        <v>0</v>
      </c>
      <c r="H242" s="1473">
        <v>0</v>
      </c>
      <c r="I242" s="1473">
        <v>0</v>
      </c>
      <c r="J242" s="1631" t="s">
        <v>536</v>
      </c>
    </row>
    <row r="243" spans="1:10" ht="12.75">
      <c r="A243" s="1627">
        <v>287929</v>
      </c>
      <c r="B243" s="1628">
        <v>105.46</v>
      </c>
      <c r="C243" s="1632" t="s">
        <v>537</v>
      </c>
      <c r="D243" s="1479"/>
      <c r="E243" s="1473">
        <v>-335781026</v>
      </c>
      <c r="F243" s="1473">
        <f t="shared" si="11"/>
        <v>-335781026</v>
      </c>
      <c r="G243" s="1473">
        <v>0</v>
      </c>
      <c r="H243" s="1473">
        <v>0</v>
      </c>
      <c r="I243" s="1473">
        <v>0</v>
      </c>
      <c r="J243" s="1631" t="s">
        <v>495</v>
      </c>
    </row>
    <row r="244" spans="1:10" ht="25.5">
      <c r="A244" s="1627">
        <v>286605</v>
      </c>
      <c r="B244" s="1628">
        <v>105.136</v>
      </c>
      <c r="C244" s="1632" t="s">
        <v>659</v>
      </c>
      <c r="D244" s="1479"/>
      <c r="E244" s="1473">
        <v>88129</v>
      </c>
      <c r="F244" s="1473">
        <f t="shared" si="11"/>
        <v>88129</v>
      </c>
      <c r="G244" s="1473">
        <v>0</v>
      </c>
      <c r="H244" s="1473">
        <v>0</v>
      </c>
      <c r="I244" s="1473">
        <v>0</v>
      </c>
      <c r="J244" s="1474" t="s">
        <v>1682</v>
      </c>
    </row>
    <row r="245" spans="1:10" ht="38.25">
      <c r="A245" s="1627">
        <v>287605</v>
      </c>
      <c r="B245" s="1628">
        <v>320.20999999999998</v>
      </c>
      <c r="C245" s="1632" t="s">
        <v>538</v>
      </c>
      <c r="D245" s="1479"/>
      <c r="E245" s="1473">
        <v>-7719946</v>
      </c>
      <c r="F245" s="1473">
        <f t="shared" si="11"/>
        <v>-7719946</v>
      </c>
      <c r="G245" s="1473">
        <v>0</v>
      </c>
      <c r="H245" s="1473">
        <v>0</v>
      </c>
      <c r="I245" s="1473">
        <v>0</v>
      </c>
      <c r="J245" s="1631" t="s">
        <v>539</v>
      </c>
    </row>
    <row r="246" spans="1:10" ht="51" customHeight="1">
      <c r="A246" s="1627">
        <v>286914</v>
      </c>
      <c r="B246" s="1628">
        <v>415.52499999999998</v>
      </c>
      <c r="C246" s="1632" t="s">
        <v>1683</v>
      </c>
      <c r="D246" s="1479"/>
      <c r="E246" s="1473">
        <v>-571509</v>
      </c>
      <c r="F246" s="1473">
        <f t="shared" si="11"/>
        <v>-571509</v>
      </c>
      <c r="G246" s="1473">
        <v>0</v>
      </c>
      <c r="H246" s="1473">
        <v>0</v>
      </c>
      <c r="I246" s="1473">
        <v>0</v>
      </c>
      <c r="J246" s="1631" t="s">
        <v>1684</v>
      </c>
    </row>
    <row r="247" spans="1:10" ht="63.75">
      <c r="A247" s="1627">
        <v>287605</v>
      </c>
      <c r="B247" s="1628">
        <v>100.11</v>
      </c>
      <c r="C247" s="1632" t="s">
        <v>540</v>
      </c>
      <c r="D247" s="1479"/>
      <c r="E247" s="1473">
        <v>-323018</v>
      </c>
      <c r="F247" s="1473">
        <f t="shared" si="11"/>
        <v>-323018</v>
      </c>
      <c r="G247" s="1473">
        <v>0</v>
      </c>
      <c r="H247" s="1473">
        <v>0</v>
      </c>
      <c r="I247" s="1473">
        <v>0</v>
      </c>
      <c r="J247" s="1631" t="s">
        <v>2244</v>
      </c>
    </row>
    <row r="248" spans="1:10" ht="25.5">
      <c r="A248" s="1627">
        <v>287605</v>
      </c>
      <c r="B248" s="1628">
        <v>105.16</v>
      </c>
      <c r="C248" s="1632" t="s">
        <v>542</v>
      </c>
      <c r="D248" s="1479"/>
      <c r="E248" s="1473">
        <v>3585747</v>
      </c>
      <c r="F248" s="1473">
        <v>0</v>
      </c>
      <c r="G248" s="1473">
        <v>0</v>
      </c>
      <c r="H248" s="1473">
        <v>0</v>
      </c>
      <c r="I248" s="1473">
        <f>E248</f>
        <v>3585747</v>
      </c>
      <c r="J248" s="1474" t="s">
        <v>543</v>
      </c>
    </row>
    <row r="249" spans="1:10" ht="25.5">
      <c r="A249" s="1627">
        <v>287605</v>
      </c>
      <c r="B249" s="1628">
        <v>105.16</v>
      </c>
      <c r="C249" s="1632" t="s">
        <v>544</v>
      </c>
      <c r="D249" s="1479"/>
      <c r="E249" s="1473">
        <v>166422</v>
      </c>
      <c r="F249" s="1473">
        <v>0</v>
      </c>
      <c r="G249" s="1473">
        <f>+E249</f>
        <v>166422</v>
      </c>
      <c r="H249" s="1473">
        <v>0</v>
      </c>
      <c r="I249" s="1473">
        <v>0</v>
      </c>
      <c r="J249" s="1474" t="s">
        <v>543</v>
      </c>
    </row>
    <row r="250" spans="1:10" ht="25.5">
      <c r="A250" s="1627">
        <v>287605</v>
      </c>
      <c r="B250" s="1628">
        <v>105.131</v>
      </c>
      <c r="C250" s="1632" t="s">
        <v>545</v>
      </c>
      <c r="D250" s="1479"/>
      <c r="E250" s="1473">
        <v>111057724</v>
      </c>
      <c r="F250" s="1473">
        <f t="shared" ref="F250:F263" si="12">E250</f>
        <v>111057724</v>
      </c>
      <c r="G250" s="1473">
        <v>0</v>
      </c>
      <c r="H250" s="1473">
        <v>0</v>
      </c>
      <c r="I250" s="1473">
        <v>0</v>
      </c>
      <c r="J250" s="1631" t="s">
        <v>546</v>
      </c>
    </row>
    <row r="251" spans="1:10" ht="12.75">
      <c r="A251" s="1627">
        <v>287605</v>
      </c>
      <c r="B251" s="1628">
        <v>105.13200000000001</v>
      </c>
      <c r="C251" s="1632" t="s">
        <v>2245</v>
      </c>
      <c r="D251" s="1479"/>
      <c r="E251" s="1473">
        <v>2455895</v>
      </c>
      <c r="F251" s="1473">
        <f t="shared" si="12"/>
        <v>2455895</v>
      </c>
      <c r="G251" s="1473">
        <v>0</v>
      </c>
      <c r="H251" s="1473">
        <v>0</v>
      </c>
      <c r="I251" s="1473">
        <v>0</v>
      </c>
      <c r="J251" s="1474" t="s">
        <v>2246</v>
      </c>
    </row>
    <row r="252" spans="1:10" ht="38.25">
      <c r="A252" s="1627">
        <v>287605</v>
      </c>
      <c r="B252" s="1628">
        <v>105.14</v>
      </c>
      <c r="C252" s="1632" t="s">
        <v>547</v>
      </c>
      <c r="D252" s="1479"/>
      <c r="E252" s="1473">
        <v>26497187</v>
      </c>
      <c r="F252" s="1473">
        <f t="shared" si="12"/>
        <v>26497187</v>
      </c>
      <c r="G252" s="1473">
        <v>0</v>
      </c>
      <c r="H252" s="1473">
        <v>0</v>
      </c>
      <c r="I252" s="1473">
        <v>0</v>
      </c>
      <c r="J252" s="1631" t="s">
        <v>548</v>
      </c>
    </row>
    <row r="253" spans="1:10" ht="38.25">
      <c r="A253" s="1627">
        <v>287605</v>
      </c>
      <c r="B253" s="1628">
        <v>105.122</v>
      </c>
      <c r="C253" s="1632" t="s">
        <v>549</v>
      </c>
      <c r="D253" s="1479"/>
      <c r="E253" s="1473">
        <v>-636625383</v>
      </c>
      <c r="F253" s="1473">
        <f t="shared" si="12"/>
        <v>-636625383</v>
      </c>
      <c r="G253" s="1473">
        <v>0</v>
      </c>
      <c r="H253" s="1473">
        <v>0</v>
      </c>
      <c r="I253" s="1473">
        <v>0</v>
      </c>
      <c r="J253" s="1631" t="s">
        <v>550</v>
      </c>
    </row>
    <row r="254" spans="1:10" ht="25.5">
      <c r="A254" s="1627">
        <v>287221</v>
      </c>
      <c r="B254" s="1628">
        <v>415.93299999999999</v>
      </c>
      <c r="C254" s="1632" t="s">
        <v>1975</v>
      </c>
      <c r="D254" s="1479"/>
      <c r="E254" s="1473">
        <v>1748576</v>
      </c>
      <c r="F254" s="1473">
        <f t="shared" si="12"/>
        <v>1748576</v>
      </c>
      <c r="G254" s="1473">
        <v>0</v>
      </c>
      <c r="H254" s="1473">
        <v>0</v>
      </c>
      <c r="I254" s="1473">
        <v>0</v>
      </c>
      <c r="J254" s="1631" t="s">
        <v>2056</v>
      </c>
    </row>
    <row r="255" spans="1:10" ht="25.5">
      <c r="A255" s="1627">
        <v>287222</v>
      </c>
      <c r="B255" s="1628">
        <v>415.93400000000003</v>
      </c>
      <c r="C255" s="1632" t="s">
        <v>1976</v>
      </c>
      <c r="D255" s="1479"/>
      <c r="E255" s="1473">
        <v>16771630</v>
      </c>
      <c r="F255" s="1473">
        <f t="shared" si="12"/>
        <v>16771630</v>
      </c>
      <c r="G255" s="1473">
        <v>0</v>
      </c>
      <c r="H255" s="1473">
        <v>0</v>
      </c>
      <c r="I255" s="1473">
        <v>0</v>
      </c>
      <c r="J255" s="1631" t="s">
        <v>2057</v>
      </c>
    </row>
    <row r="256" spans="1:10" ht="25.5">
      <c r="A256" s="1627">
        <v>287223</v>
      </c>
      <c r="B256" s="1628">
        <v>415.935</v>
      </c>
      <c r="C256" s="1632" t="s">
        <v>1977</v>
      </c>
      <c r="D256" s="1479"/>
      <c r="E256" s="1473">
        <v>4878213</v>
      </c>
      <c r="F256" s="1473">
        <f t="shared" si="12"/>
        <v>4878213</v>
      </c>
      <c r="G256" s="1473">
        <v>0</v>
      </c>
      <c r="H256" s="1473">
        <v>0</v>
      </c>
      <c r="I256" s="1473">
        <v>0</v>
      </c>
      <c r="J256" s="1631" t="s">
        <v>2058</v>
      </c>
    </row>
    <row r="257" spans="1:10" ht="38.25">
      <c r="A257" s="1627">
        <v>287057</v>
      </c>
      <c r="B257" s="1628">
        <v>100.119</v>
      </c>
      <c r="C257" s="1632" t="s">
        <v>2118</v>
      </c>
      <c r="D257" s="1479"/>
      <c r="E257" s="1473">
        <v>-42391076</v>
      </c>
      <c r="F257" s="1473">
        <f t="shared" si="12"/>
        <v>-42391076</v>
      </c>
      <c r="G257" s="1473"/>
      <c r="H257" s="1473"/>
      <c r="I257" s="1473"/>
      <c r="J257" s="1631" t="s">
        <v>2119</v>
      </c>
    </row>
    <row r="258" spans="1:10" ht="25.5">
      <c r="A258" s="1627">
        <v>287189</v>
      </c>
      <c r="B258" s="1628">
        <v>100.122</v>
      </c>
      <c r="C258" s="1632" t="s">
        <v>660</v>
      </c>
      <c r="D258" s="1479"/>
      <c r="E258" s="1473">
        <v>1054142</v>
      </c>
      <c r="F258" s="1473">
        <f t="shared" si="12"/>
        <v>1054142</v>
      </c>
      <c r="G258" s="1473">
        <v>0</v>
      </c>
      <c r="H258" s="1473">
        <v>0</v>
      </c>
      <c r="I258" s="1473">
        <v>0</v>
      </c>
      <c r="J258" s="1631" t="s">
        <v>1978</v>
      </c>
    </row>
    <row r="259" spans="1:10" ht="38.25" customHeight="1">
      <c r="A259" s="1627">
        <v>287187</v>
      </c>
      <c r="B259" s="1628">
        <v>100.121</v>
      </c>
      <c r="C259" s="1632" t="s">
        <v>661</v>
      </c>
      <c r="D259" s="1479"/>
      <c r="E259" s="1473">
        <v>-235111666</v>
      </c>
      <c r="F259" s="1473">
        <f t="shared" si="12"/>
        <v>-235111666</v>
      </c>
      <c r="G259" s="1473">
        <v>0</v>
      </c>
      <c r="H259" s="1473">
        <v>0</v>
      </c>
      <c r="I259" s="1473">
        <v>0</v>
      </c>
      <c r="J259" s="1631" t="s">
        <v>1681</v>
      </c>
    </row>
    <row r="260" spans="1:10" ht="12.75">
      <c r="A260" s="1627">
        <v>287313</v>
      </c>
      <c r="B260" s="1628">
        <v>105.45</v>
      </c>
      <c r="C260" s="1632" t="s">
        <v>551</v>
      </c>
      <c r="D260" s="1479"/>
      <c r="E260" s="1473">
        <v>335781026</v>
      </c>
      <c r="F260" s="1473">
        <f t="shared" si="12"/>
        <v>335781026</v>
      </c>
      <c r="G260" s="1473">
        <v>0</v>
      </c>
      <c r="H260" s="1473">
        <v>0</v>
      </c>
      <c r="I260" s="1473">
        <v>0</v>
      </c>
      <c r="J260" s="1631" t="s">
        <v>495</v>
      </c>
    </row>
    <row r="261" spans="1:10" ht="25.5">
      <c r="A261" s="1627">
        <v>286915</v>
      </c>
      <c r="B261" s="1628">
        <v>425.15499999999997</v>
      </c>
      <c r="C261" s="1632" t="s">
        <v>1685</v>
      </c>
      <c r="D261" s="1479"/>
      <c r="E261" s="1473">
        <v>-2771915</v>
      </c>
      <c r="F261" s="1473">
        <f t="shared" si="12"/>
        <v>-2771915</v>
      </c>
      <c r="G261" s="1473">
        <v>0</v>
      </c>
      <c r="H261" s="1473">
        <v>0</v>
      </c>
      <c r="I261" s="1473">
        <v>0</v>
      </c>
      <c r="J261" s="1631" t="s">
        <v>1686</v>
      </c>
    </row>
    <row r="262" spans="1:10" ht="63.75">
      <c r="A262" s="1627">
        <v>287605</v>
      </c>
      <c r="B262" s="1628">
        <v>105.123</v>
      </c>
      <c r="C262" s="1632" t="s">
        <v>552</v>
      </c>
      <c r="D262" s="1479"/>
      <c r="E262" s="1473">
        <v>-157570922</v>
      </c>
      <c r="F262" s="1473">
        <f t="shared" si="12"/>
        <v>-157570922</v>
      </c>
      <c r="G262" s="1473">
        <v>0</v>
      </c>
      <c r="H262" s="1473">
        <v>0</v>
      </c>
      <c r="I262" s="1473">
        <v>0</v>
      </c>
      <c r="J262" s="1631" t="s">
        <v>553</v>
      </c>
    </row>
    <row r="263" spans="1:10" ht="53.25" customHeight="1">
      <c r="A263" s="1627">
        <v>287605</v>
      </c>
      <c r="B263" s="1628">
        <v>105.116</v>
      </c>
      <c r="C263" s="1632" t="s">
        <v>554</v>
      </c>
      <c r="D263" s="1479"/>
      <c r="E263" s="1473">
        <v>-100533</v>
      </c>
      <c r="F263" s="1473">
        <f t="shared" si="12"/>
        <v>-100533</v>
      </c>
      <c r="G263" s="1473">
        <v>0</v>
      </c>
      <c r="H263" s="1473">
        <v>0</v>
      </c>
      <c r="I263" s="1473">
        <v>0</v>
      </c>
      <c r="J263" s="1631" t="s">
        <v>2247</v>
      </c>
    </row>
    <row r="264" spans="1:10" ht="25.5">
      <c r="A264" s="1627">
        <v>287071</v>
      </c>
      <c r="B264" s="1628">
        <v>105.27</v>
      </c>
      <c r="C264" s="1632" t="s">
        <v>2120</v>
      </c>
      <c r="D264" s="1479"/>
      <c r="E264" s="1473">
        <v>-3512981</v>
      </c>
      <c r="F264" s="1473">
        <f t="shared" ref="F264:F269" si="13">E264-G264</f>
        <v>-3054079</v>
      </c>
      <c r="G264" s="1473">
        <v>-458902</v>
      </c>
      <c r="H264" s="1473">
        <v>0</v>
      </c>
      <c r="I264" s="1473">
        <v>0</v>
      </c>
      <c r="J264" s="1631" t="s">
        <v>2121</v>
      </c>
    </row>
    <row r="265" spans="1:10" ht="25.5">
      <c r="A265" s="1627">
        <v>287072</v>
      </c>
      <c r="B265" s="1628">
        <v>105.271</v>
      </c>
      <c r="C265" s="1632" t="s">
        <v>2122</v>
      </c>
      <c r="D265" s="1479"/>
      <c r="E265" s="1473">
        <v>-1480428</v>
      </c>
      <c r="F265" s="1473">
        <f t="shared" si="13"/>
        <v>-1512775</v>
      </c>
      <c r="G265" s="1473">
        <v>32347</v>
      </c>
      <c r="H265" s="1473">
        <v>0</v>
      </c>
      <c r="I265" s="1473">
        <v>0</v>
      </c>
      <c r="J265" s="1631" t="s">
        <v>2123</v>
      </c>
    </row>
    <row r="266" spans="1:10" ht="25.5">
      <c r="A266" s="1627">
        <v>287073</v>
      </c>
      <c r="B266" s="1628">
        <v>105.27200000000001</v>
      </c>
      <c r="C266" s="1632" t="s">
        <v>2124</v>
      </c>
      <c r="D266" s="1479"/>
      <c r="E266" s="1473">
        <v>12044734</v>
      </c>
      <c r="F266" s="1473">
        <f t="shared" si="13"/>
        <v>4290380</v>
      </c>
      <c r="G266" s="1473">
        <v>7754354</v>
      </c>
      <c r="H266" s="1473">
        <v>0</v>
      </c>
      <c r="I266" s="1473">
        <v>0</v>
      </c>
      <c r="J266" s="1631" t="s">
        <v>2125</v>
      </c>
    </row>
    <row r="267" spans="1:10" ht="25.5">
      <c r="A267" s="1627">
        <v>287074</v>
      </c>
      <c r="B267" s="1628">
        <v>105.273</v>
      </c>
      <c r="C267" s="1632" t="s">
        <v>2126</v>
      </c>
      <c r="D267" s="1479"/>
      <c r="E267" s="1473">
        <v>52585129</v>
      </c>
      <c r="F267" s="1473">
        <f t="shared" si="13"/>
        <v>34038585</v>
      </c>
      <c r="G267" s="1473">
        <v>18546544</v>
      </c>
      <c r="H267" s="1473">
        <v>0</v>
      </c>
      <c r="I267" s="1473">
        <v>0</v>
      </c>
      <c r="J267" s="1631" t="s">
        <v>2127</v>
      </c>
    </row>
    <row r="268" spans="1:10" ht="25.5">
      <c r="A268" s="1627">
        <v>287075</v>
      </c>
      <c r="B268" s="1628">
        <v>105.274</v>
      </c>
      <c r="C268" s="1632" t="s">
        <v>2128</v>
      </c>
      <c r="D268" s="1479"/>
      <c r="E268" s="1473">
        <v>-870549</v>
      </c>
      <c r="F268" s="1473">
        <f t="shared" si="13"/>
        <v>-4052964</v>
      </c>
      <c r="G268" s="1473">
        <v>3182415</v>
      </c>
      <c r="H268" s="1473">
        <v>0</v>
      </c>
      <c r="I268" s="1473">
        <v>0</v>
      </c>
      <c r="J268" s="1631" t="s">
        <v>2129</v>
      </c>
    </row>
    <row r="269" spans="1:10" ht="25.5">
      <c r="A269" s="1627">
        <v>287076</v>
      </c>
      <c r="B269" s="1628">
        <v>105.27500000000001</v>
      </c>
      <c r="C269" s="1632" t="s">
        <v>2130</v>
      </c>
      <c r="D269" s="1479"/>
      <c r="E269" s="1473">
        <v>-16374827</v>
      </c>
      <c r="F269" s="1473">
        <f t="shared" si="13"/>
        <v>-9218142</v>
      </c>
      <c r="G269" s="1473">
        <v>-7156685</v>
      </c>
      <c r="H269" s="1473">
        <v>0</v>
      </c>
      <c r="I269" s="1473">
        <v>0</v>
      </c>
      <c r="J269" s="1631" t="s">
        <v>2131</v>
      </c>
    </row>
    <row r="270" spans="1:10" ht="25.5">
      <c r="A270" s="1627">
        <v>287771</v>
      </c>
      <c r="B270" s="1628">
        <v>110.205</v>
      </c>
      <c r="C270" s="1632" t="s">
        <v>556</v>
      </c>
      <c r="D270" s="1479"/>
      <c r="E270" s="1473">
        <v>12579</v>
      </c>
      <c r="F270" s="1473">
        <f>E270</f>
        <v>12579</v>
      </c>
      <c r="G270" s="1473">
        <v>0</v>
      </c>
      <c r="H270" s="1473">
        <v>0</v>
      </c>
      <c r="I270" s="1473">
        <v>0</v>
      </c>
      <c r="J270" s="1631" t="s">
        <v>500</v>
      </c>
    </row>
    <row r="271" spans="1:10" ht="12.75">
      <c r="A271" s="1679"/>
      <c r="B271" s="1679" t="s">
        <v>470</v>
      </c>
      <c r="C271" s="1671"/>
      <c r="D271" s="1688"/>
      <c r="E271" s="1677">
        <v>-1</v>
      </c>
      <c r="F271" s="1677">
        <f>E271</f>
        <v>-1</v>
      </c>
      <c r="G271" s="1677">
        <v>0</v>
      </c>
      <c r="H271" s="1677">
        <v>0</v>
      </c>
      <c r="I271" s="1677">
        <v>0</v>
      </c>
      <c r="J271" s="1620"/>
    </row>
    <row r="272" spans="1:10" ht="12.75">
      <c r="A272" s="1690" t="s">
        <v>557</v>
      </c>
      <c r="B272" s="1691"/>
      <c r="C272" s="1637"/>
      <c r="D272" s="1643"/>
      <c r="E272" s="1682">
        <f>SUM(E214:E271)</f>
        <v>-3345774488</v>
      </c>
      <c r="F272" s="1682">
        <f>SUM(F214:F271)</f>
        <v>-2298745029</v>
      </c>
      <c r="G272" s="1682">
        <f>SUM(G214:G271)</f>
        <v>-881652889</v>
      </c>
      <c r="H272" s="1682">
        <f>SUM(H214:H271)</f>
        <v>11925271</v>
      </c>
      <c r="I272" s="1682">
        <f>SUM(I214:I271)</f>
        <v>-177301841</v>
      </c>
      <c r="J272" s="1615"/>
    </row>
    <row r="273" spans="1:10" ht="12.75">
      <c r="A273" s="1690" t="s">
        <v>472</v>
      </c>
      <c r="B273" s="1691"/>
      <c r="C273" s="1637"/>
      <c r="D273" s="1643"/>
      <c r="E273" s="1692">
        <f>SUM(E257:E259)</f>
        <v>-276448600</v>
      </c>
      <c r="F273" s="1692">
        <f t="shared" ref="F273:I273" si="14">SUM(F257:F259)</f>
        <v>-276448600</v>
      </c>
      <c r="G273" s="1692">
        <f t="shared" si="14"/>
        <v>0</v>
      </c>
      <c r="H273" s="1692">
        <f t="shared" si="14"/>
        <v>0</v>
      </c>
      <c r="I273" s="1692">
        <f t="shared" si="14"/>
        <v>0</v>
      </c>
      <c r="J273" s="1647"/>
    </row>
    <row r="274" spans="1:10" ht="12.75">
      <c r="A274" s="1693" t="s">
        <v>473</v>
      </c>
      <c r="B274" s="1694"/>
      <c r="C274" s="1297"/>
      <c r="D274" s="1695"/>
      <c r="E274" s="1692">
        <v>0</v>
      </c>
      <c r="F274" s="1692">
        <v>0</v>
      </c>
      <c r="G274" s="1692">
        <v>0</v>
      </c>
      <c r="H274" s="1692">
        <v>0</v>
      </c>
      <c r="I274" s="1692">
        <v>0</v>
      </c>
      <c r="J274" s="1647"/>
    </row>
    <row r="275" spans="1:10" ht="12.75">
      <c r="A275" s="1641" t="s">
        <v>111</v>
      </c>
      <c r="B275" s="1642"/>
      <c r="C275" s="1637"/>
      <c r="D275" s="1643"/>
      <c r="E275" s="1682">
        <f>+E272-E273-E274</f>
        <v>-3069325888</v>
      </c>
      <c r="F275" s="1682">
        <f>+F272-F273-F274</f>
        <v>-2022296429</v>
      </c>
      <c r="G275" s="1682">
        <f>+G272-G273-G274</f>
        <v>-881652889</v>
      </c>
      <c r="H275" s="1682">
        <f>+H272-H273-H274</f>
        <v>11925271</v>
      </c>
      <c r="I275" s="1682">
        <f>+I272-I273-I274</f>
        <v>-177301841</v>
      </c>
      <c r="J275" s="1647"/>
    </row>
    <row r="276" spans="1:10" ht="12.75">
      <c r="A276" s="320"/>
      <c r="B276" s="320"/>
      <c r="C276" s="332"/>
      <c r="D276" s="376"/>
      <c r="E276" s="376"/>
      <c r="F276" s="376"/>
      <c r="G276" s="1696"/>
      <c r="H276" s="1696"/>
      <c r="I276" s="1466"/>
    </row>
    <row r="277" spans="1:10" ht="12.75">
      <c r="A277" s="320"/>
      <c r="B277" s="320"/>
      <c r="C277" s="1655" t="s">
        <v>558</v>
      </c>
      <c r="D277" s="1297"/>
      <c r="E277" s="1297"/>
      <c r="F277" s="1297"/>
      <c r="G277" s="1684"/>
      <c r="H277" s="1685"/>
      <c r="I277" s="1466"/>
    </row>
    <row r="278" spans="1:10" ht="25.5">
      <c r="A278" s="320"/>
      <c r="B278" s="320"/>
      <c r="C278" s="1842" t="s">
        <v>475</v>
      </c>
      <c r="D278" s="358"/>
      <c r="E278" s="358"/>
      <c r="F278" s="358"/>
      <c r="G278" s="358"/>
      <c r="H278" s="1843"/>
      <c r="I278" s="1466"/>
    </row>
    <row r="279" spans="1:10" ht="12.75">
      <c r="A279" s="320"/>
      <c r="B279" s="320"/>
      <c r="C279" s="1660" t="s">
        <v>476</v>
      </c>
      <c r="G279" s="343"/>
      <c r="H279" s="1686"/>
      <c r="I279" s="1466"/>
    </row>
    <row r="280" spans="1:10" ht="12.75">
      <c r="A280" s="320"/>
      <c r="B280" s="320"/>
      <c r="C280" s="1660" t="s">
        <v>477</v>
      </c>
      <c r="G280" s="343"/>
      <c r="H280" s="1686"/>
      <c r="I280" s="1466"/>
    </row>
    <row r="281" spans="1:10" ht="12.75">
      <c r="A281" s="320"/>
      <c r="B281" s="320"/>
      <c r="C281" s="1660" t="s">
        <v>478</v>
      </c>
      <c r="G281" s="343"/>
      <c r="H281" s="1686"/>
      <c r="I281" s="1466"/>
    </row>
    <row r="282" spans="1:10" ht="12.75">
      <c r="A282" s="320"/>
      <c r="B282" s="320"/>
      <c r="C282" s="1928" t="s">
        <v>479</v>
      </c>
      <c r="D282" s="1926"/>
      <c r="E282" s="1926"/>
      <c r="F282" s="1926"/>
      <c r="G282" s="1926"/>
      <c r="H282" s="1927"/>
      <c r="I282" s="305"/>
    </row>
    <row r="283" spans="1:10" ht="12.75">
      <c r="A283" s="320"/>
      <c r="B283" s="320"/>
      <c r="C283" s="358"/>
      <c r="D283" s="358"/>
      <c r="E283" s="358"/>
      <c r="F283" s="358"/>
      <c r="G283" s="358"/>
      <c r="H283" s="358"/>
      <c r="I283" s="305"/>
    </row>
    <row r="284" spans="1:10" ht="12.75">
      <c r="A284" s="1257" t="s">
        <v>2</v>
      </c>
      <c r="B284" s="1257"/>
      <c r="C284" s="1697"/>
      <c r="D284" s="343"/>
      <c r="E284" s="343"/>
      <c r="F284" s="343"/>
      <c r="G284" s="343"/>
      <c r="H284" s="343"/>
      <c r="I284" s="343"/>
    </row>
    <row r="285" spans="1:10" ht="12.75">
      <c r="A285" s="1668"/>
      <c r="B285" s="1668"/>
      <c r="C285" s="1668"/>
      <c r="D285" s="1668"/>
      <c r="E285" s="1668"/>
      <c r="F285" s="1668"/>
      <c r="G285" s="1668"/>
      <c r="H285" s="1668"/>
      <c r="I285" s="1668"/>
    </row>
    <row r="286" spans="1:10" ht="32.25" customHeight="1">
      <c r="A286" s="1667" t="s">
        <v>480</v>
      </c>
      <c r="B286" s="320"/>
      <c r="C286" s="305"/>
      <c r="H286" s="1609"/>
      <c r="I286" s="1466"/>
    </row>
    <row r="287" spans="1:10" s="1664" customFormat="1" ht="12.75">
      <c r="A287" s="1257" t="s">
        <v>559</v>
      </c>
      <c r="B287" s="320"/>
      <c r="C287" s="305"/>
      <c r="D287" s="305"/>
      <c r="E287" s="305"/>
      <c r="F287" s="305"/>
      <c r="G287" s="305"/>
      <c r="H287" s="1609"/>
      <c r="I287" s="1466"/>
      <c r="J287" s="305"/>
    </row>
    <row r="288" spans="1:10" s="1664" customFormat="1" ht="12.75">
      <c r="A288" s="320"/>
      <c r="B288" s="320"/>
      <c r="C288" s="1610" t="s">
        <v>230</v>
      </c>
      <c r="D288" s="328"/>
      <c r="E288" s="1610" t="s">
        <v>233</v>
      </c>
      <c r="F288" s="1610" t="s">
        <v>235</v>
      </c>
      <c r="G288" s="1610" t="s">
        <v>236</v>
      </c>
      <c r="H288" s="1610" t="s">
        <v>238</v>
      </c>
      <c r="I288" s="1610" t="s">
        <v>240</v>
      </c>
      <c r="J288" s="1610" t="s">
        <v>242</v>
      </c>
    </row>
    <row r="289" spans="1:10" ht="12.75">
      <c r="A289" s="320"/>
      <c r="B289" s="320"/>
      <c r="C289" s="305"/>
      <c r="F289" s="329" t="s">
        <v>357</v>
      </c>
      <c r="H289" s="329"/>
      <c r="I289" s="329"/>
    </row>
    <row r="290" spans="1:10" ht="12.75">
      <c r="A290" s="1257"/>
      <c r="B290" s="320"/>
      <c r="C290" s="332"/>
      <c r="E290" s="329" t="s">
        <v>111</v>
      </c>
      <c r="F290" s="329" t="s">
        <v>358</v>
      </c>
      <c r="G290" s="329" t="s">
        <v>359</v>
      </c>
      <c r="H290" s="329" t="s">
        <v>360</v>
      </c>
      <c r="I290" s="329" t="s">
        <v>361</v>
      </c>
    </row>
    <row r="291" spans="1:10" ht="12.75">
      <c r="A291" s="320"/>
      <c r="B291" s="320"/>
      <c r="C291" s="305"/>
      <c r="E291" s="329"/>
      <c r="F291" s="329" t="s">
        <v>364</v>
      </c>
      <c r="G291" s="329" t="s">
        <v>364</v>
      </c>
      <c r="H291" s="329" t="s">
        <v>364</v>
      </c>
      <c r="I291" s="329" t="s">
        <v>364</v>
      </c>
      <c r="J291" s="329" t="s">
        <v>365</v>
      </c>
    </row>
    <row r="292" spans="1:10" ht="12.75">
      <c r="A292" s="1670" t="s">
        <v>560</v>
      </c>
      <c r="B292" s="1671"/>
      <c r="C292" s="1671"/>
      <c r="D292" s="1698"/>
      <c r="E292" s="1699"/>
      <c r="F292" s="1699"/>
      <c r="G292" s="1699"/>
      <c r="H292" s="1699"/>
      <c r="I292" s="1699"/>
      <c r="J292" s="1675"/>
    </row>
    <row r="293" spans="1:10" ht="12.75">
      <c r="A293" s="1470" t="s">
        <v>561</v>
      </c>
      <c r="B293" s="1700"/>
      <c r="C293" s="1671"/>
      <c r="D293" s="1698"/>
      <c r="E293" s="1699"/>
      <c r="F293" s="1699"/>
      <c r="G293" s="1699"/>
      <c r="H293" s="1699"/>
      <c r="I293" s="1699"/>
      <c r="J293" s="1675"/>
    </row>
    <row r="294" spans="1:10" ht="25.5">
      <c r="A294" s="1627">
        <v>286688</v>
      </c>
      <c r="B294" s="1628">
        <v>320.28699999999998</v>
      </c>
      <c r="C294" s="1632" t="s">
        <v>1979</v>
      </c>
      <c r="D294" s="1479"/>
      <c r="E294" s="1473">
        <v>0</v>
      </c>
      <c r="F294" s="1473">
        <f>E294</f>
        <v>0</v>
      </c>
      <c r="G294" s="1473">
        <v>0</v>
      </c>
      <c r="H294" s="1473">
        <v>0</v>
      </c>
      <c r="I294" s="1473">
        <v>0</v>
      </c>
      <c r="J294" s="1474" t="s">
        <v>1980</v>
      </c>
    </row>
    <row r="295" spans="1:10" ht="25.5">
      <c r="A295" s="1627">
        <v>286887</v>
      </c>
      <c r="B295" s="1628">
        <v>320.286</v>
      </c>
      <c r="C295" s="1632" t="s">
        <v>1981</v>
      </c>
      <c r="D295" s="1479"/>
      <c r="E295" s="1473">
        <v>-2427883</v>
      </c>
      <c r="F295" s="1473">
        <f>E295</f>
        <v>-2427883</v>
      </c>
      <c r="G295" s="1473">
        <v>0</v>
      </c>
      <c r="H295" s="1473">
        <v>0</v>
      </c>
      <c r="I295" s="1473">
        <v>0</v>
      </c>
      <c r="J295" s="1474" t="s">
        <v>1982</v>
      </c>
    </row>
    <row r="296" spans="1:10" ht="25.5">
      <c r="A296" s="1627">
        <v>286889</v>
      </c>
      <c r="B296" s="1628">
        <v>320.28800000000001</v>
      </c>
      <c r="C296" s="1632" t="s">
        <v>1983</v>
      </c>
      <c r="D296" s="1479"/>
      <c r="E296" s="1473">
        <v>-1121184</v>
      </c>
      <c r="F296" s="1473">
        <f>E296</f>
        <v>-1121184</v>
      </c>
      <c r="G296" s="1473">
        <v>0</v>
      </c>
      <c r="H296" s="1473">
        <v>0</v>
      </c>
      <c r="I296" s="1473">
        <v>0</v>
      </c>
      <c r="J296" s="1474" t="s">
        <v>1984</v>
      </c>
    </row>
    <row r="297" spans="1:10" ht="25.5">
      <c r="A297" s="1627">
        <v>286890</v>
      </c>
      <c r="B297" s="1628">
        <v>415.1</v>
      </c>
      <c r="C297" s="1632" t="s">
        <v>1985</v>
      </c>
      <c r="D297" s="1479"/>
      <c r="E297" s="1473">
        <v>-255806</v>
      </c>
      <c r="F297" s="1473">
        <f>E297</f>
        <v>-255806</v>
      </c>
      <c r="G297" s="1473">
        <v>0</v>
      </c>
      <c r="H297" s="1473">
        <v>0</v>
      </c>
      <c r="I297" s="1473">
        <v>0</v>
      </c>
      <c r="J297" s="1474" t="s">
        <v>1986</v>
      </c>
    </row>
    <row r="298" spans="1:10" ht="25.5">
      <c r="A298" s="1627">
        <v>286891</v>
      </c>
      <c r="B298" s="1628">
        <v>415.94299999999998</v>
      </c>
      <c r="C298" s="1632" t="s">
        <v>1987</v>
      </c>
      <c r="D298" s="1479"/>
      <c r="E298" s="1473">
        <v>-1873133</v>
      </c>
      <c r="F298" s="1473">
        <f t="shared" ref="F298:F304" si="15">+E298</f>
        <v>-1873133</v>
      </c>
      <c r="G298" s="1473">
        <v>0</v>
      </c>
      <c r="H298" s="1473">
        <v>0</v>
      </c>
      <c r="I298" s="1473"/>
      <c r="J298" s="1474" t="s">
        <v>1988</v>
      </c>
    </row>
    <row r="299" spans="1:10" ht="25.5">
      <c r="A299" s="1627">
        <v>286892</v>
      </c>
      <c r="B299" s="1628">
        <v>415.94400000000002</v>
      </c>
      <c r="C299" s="1632" t="s">
        <v>1989</v>
      </c>
      <c r="D299" s="1479"/>
      <c r="E299" s="1473">
        <v>-190628</v>
      </c>
      <c r="F299" s="1473">
        <f t="shared" si="15"/>
        <v>-190628</v>
      </c>
      <c r="G299" s="1473">
        <v>0</v>
      </c>
      <c r="H299" s="1473">
        <v>0</v>
      </c>
      <c r="I299" s="1473"/>
      <c r="J299" s="1474" t="s">
        <v>1990</v>
      </c>
    </row>
    <row r="300" spans="1:10" ht="25.5">
      <c r="A300" s="1627">
        <v>286893</v>
      </c>
      <c r="B300" s="1628">
        <v>415.755</v>
      </c>
      <c r="C300" s="1632" t="s">
        <v>1991</v>
      </c>
      <c r="D300" s="1479"/>
      <c r="E300" s="1473">
        <v>-15914</v>
      </c>
      <c r="F300" s="1473">
        <f t="shared" si="15"/>
        <v>-15914</v>
      </c>
      <c r="G300" s="1473">
        <v>0</v>
      </c>
      <c r="H300" s="1473">
        <v>0</v>
      </c>
      <c r="I300" s="1473">
        <v>0</v>
      </c>
      <c r="J300" s="1474" t="s">
        <v>1992</v>
      </c>
    </row>
    <row r="301" spans="1:10" ht="31.5" customHeight="1">
      <c r="A301" s="1627">
        <v>286894</v>
      </c>
      <c r="B301" s="1628">
        <v>415.26100000000002</v>
      </c>
      <c r="C301" s="1632" t="s">
        <v>1993</v>
      </c>
      <c r="D301" s="1479"/>
      <c r="E301" s="1473">
        <v>-1168375</v>
      </c>
      <c r="F301" s="1473">
        <f t="shared" si="15"/>
        <v>-1168375</v>
      </c>
      <c r="G301" s="1473">
        <v>0</v>
      </c>
      <c r="H301" s="1473">
        <v>0</v>
      </c>
      <c r="I301" s="1473">
        <v>0</v>
      </c>
      <c r="J301" s="1474" t="s">
        <v>1994</v>
      </c>
    </row>
    <row r="302" spans="1:10" ht="41.25" customHeight="1">
      <c r="A302" s="1627">
        <v>286895</v>
      </c>
      <c r="B302" s="1628">
        <v>415.262</v>
      </c>
      <c r="C302" s="1632" t="s">
        <v>2061</v>
      </c>
      <c r="D302" s="1479"/>
      <c r="E302" s="1473">
        <v>-11271783</v>
      </c>
      <c r="F302" s="1473">
        <f t="shared" si="15"/>
        <v>-11271783</v>
      </c>
      <c r="G302" s="1473">
        <v>0</v>
      </c>
      <c r="H302" s="1473">
        <v>0</v>
      </c>
      <c r="I302" s="1473">
        <v>0</v>
      </c>
      <c r="J302" s="1474" t="s">
        <v>2062</v>
      </c>
    </row>
    <row r="303" spans="1:10" ht="27.75" customHeight="1">
      <c r="A303" s="1627">
        <v>286896</v>
      </c>
      <c r="B303" s="1628">
        <v>415.73399999999998</v>
      </c>
      <c r="C303" s="1632" t="s">
        <v>1840</v>
      </c>
      <c r="D303" s="1479"/>
      <c r="E303" s="1473">
        <v>-663238</v>
      </c>
      <c r="F303" s="1473">
        <f t="shared" si="15"/>
        <v>-663238</v>
      </c>
      <c r="G303" s="1473">
        <v>0</v>
      </c>
      <c r="H303" s="1473">
        <v>0</v>
      </c>
      <c r="I303" s="1473">
        <v>0</v>
      </c>
      <c r="J303" s="1474" t="s">
        <v>1841</v>
      </c>
    </row>
    <row r="304" spans="1:10" ht="27" customHeight="1">
      <c r="A304" s="1627">
        <v>286898</v>
      </c>
      <c r="B304" s="1628">
        <v>415.73599999999999</v>
      </c>
      <c r="C304" s="1632" t="s">
        <v>1842</v>
      </c>
      <c r="D304" s="1479"/>
      <c r="E304" s="1473">
        <v>-7025381</v>
      </c>
      <c r="F304" s="1473">
        <f t="shared" si="15"/>
        <v>-7025381</v>
      </c>
      <c r="G304" s="1473">
        <v>0</v>
      </c>
      <c r="H304" s="1473">
        <v>0</v>
      </c>
      <c r="I304" s="1473">
        <v>0</v>
      </c>
      <c r="J304" s="1474" t="s">
        <v>1843</v>
      </c>
    </row>
    <row r="305" spans="1:10" ht="41.25" customHeight="1">
      <c r="A305" s="1627">
        <v>286904</v>
      </c>
      <c r="B305" s="1628">
        <v>415.52</v>
      </c>
      <c r="C305" s="1632" t="s">
        <v>2248</v>
      </c>
      <c r="D305" s="1479"/>
      <c r="E305" s="1473">
        <v>-1473067</v>
      </c>
      <c r="F305" s="1473">
        <f t="shared" ref="F305:F310" si="16">E305</f>
        <v>-1473067</v>
      </c>
      <c r="G305" s="1473">
        <v>0</v>
      </c>
      <c r="H305" s="1473">
        <v>0</v>
      </c>
      <c r="I305" s="1473">
        <v>0</v>
      </c>
      <c r="J305" s="1474" t="s">
        <v>2249</v>
      </c>
    </row>
    <row r="306" spans="1:10" ht="27.75" customHeight="1">
      <c r="A306" s="1627">
        <v>286910</v>
      </c>
      <c r="B306" s="1628">
        <v>415.2</v>
      </c>
      <c r="C306" s="1632" t="s">
        <v>1695</v>
      </c>
      <c r="D306" s="1479"/>
      <c r="E306" s="1473">
        <v>985434</v>
      </c>
      <c r="F306" s="1473">
        <f t="shared" si="16"/>
        <v>985434</v>
      </c>
      <c r="G306" s="1473">
        <v>0</v>
      </c>
      <c r="H306" s="1473">
        <v>0</v>
      </c>
      <c r="I306" s="1473">
        <v>0</v>
      </c>
      <c r="J306" s="1474" t="s">
        <v>1995</v>
      </c>
    </row>
    <row r="307" spans="1:10" ht="27.75" customHeight="1">
      <c r="A307" s="1627">
        <v>286911</v>
      </c>
      <c r="B307" s="1628">
        <v>415.43</v>
      </c>
      <c r="C307" s="1632" t="s">
        <v>1569</v>
      </c>
      <c r="D307" s="1479"/>
      <c r="E307" s="1473">
        <v>62928</v>
      </c>
      <c r="F307" s="1473">
        <f t="shared" si="16"/>
        <v>62928</v>
      </c>
      <c r="G307" s="1473">
        <v>0</v>
      </c>
      <c r="H307" s="1473">
        <v>0</v>
      </c>
      <c r="I307" s="1473">
        <v>0</v>
      </c>
      <c r="J307" s="1474" t="s">
        <v>1996</v>
      </c>
    </row>
    <row r="308" spans="1:10" ht="25.5">
      <c r="A308" s="1627">
        <v>286912</v>
      </c>
      <c r="B308" s="1628">
        <v>415.43099999999998</v>
      </c>
      <c r="C308" s="1632" t="s">
        <v>1697</v>
      </c>
      <c r="D308" s="1479"/>
      <c r="E308" s="1473">
        <v>-114314</v>
      </c>
      <c r="F308" s="1473">
        <f t="shared" si="16"/>
        <v>-114314</v>
      </c>
      <c r="G308" s="1473">
        <v>0</v>
      </c>
      <c r="H308" s="1473">
        <v>0</v>
      </c>
      <c r="I308" s="1473">
        <v>0</v>
      </c>
      <c r="J308" s="1474" t="s">
        <v>1997</v>
      </c>
    </row>
    <row r="309" spans="1:10" ht="25.5" customHeight="1">
      <c r="A309" s="1627">
        <v>286913</v>
      </c>
      <c r="B309" s="1628">
        <v>415.72</v>
      </c>
      <c r="C309" s="1632" t="s">
        <v>1690</v>
      </c>
      <c r="D309" s="1479"/>
      <c r="E309" s="1473">
        <v>-783818</v>
      </c>
      <c r="F309" s="1473">
        <f t="shared" si="16"/>
        <v>-783818</v>
      </c>
      <c r="G309" s="1473">
        <v>0</v>
      </c>
      <c r="H309" s="1473">
        <v>0</v>
      </c>
      <c r="I309" s="1473">
        <v>0</v>
      </c>
      <c r="J309" s="1631" t="s">
        <v>1691</v>
      </c>
    </row>
    <row r="310" spans="1:10" ht="25.5">
      <c r="A310" s="1627">
        <v>286917</v>
      </c>
      <c r="B310" s="1628">
        <v>415.26</v>
      </c>
      <c r="C310" s="1632" t="s">
        <v>1693</v>
      </c>
      <c r="D310" s="1479"/>
      <c r="E310" s="1473">
        <v>-12688315</v>
      </c>
      <c r="F310" s="1473">
        <f t="shared" si="16"/>
        <v>-12688315</v>
      </c>
      <c r="G310" s="1473">
        <v>0</v>
      </c>
      <c r="H310" s="1473">
        <v>0</v>
      </c>
      <c r="I310" s="1473">
        <v>0</v>
      </c>
      <c r="J310" s="1474" t="s">
        <v>1694</v>
      </c>
    </row>
    <row r="311" spans="1:10" ht="25.5">
      <c r="A311" s="1627">
        <v>286920</v>
      </c>
      <c r="B311" s="1628">
        <v>415.72500000000002</v>
      </c>
      <c r="C311" s="1632" t="s">
        <v>1688</v>
      </c>
      <c r="D311" s="1479"/>
      <c r="E311" s="1473">
        <v>-1744885</v>
      </c>
      <c r="F311" s="1473">
        <f t="shared" ref="F311:F318" si="17">+E311</f>
        <v>-1744885</v>
      </c>
      <c r="G311" s="1473">
        <v>0</v>
      </c>
      <c r="H311" s="1473">
        <v>0</v>
      </c>
      <c r="I311" s="1473">
        <v>0</v>
      </c>
      <c r="J311" s="1474" t="s">
        <v>1689</v>
      </c>
    </row>
    <row r="312" spans="1:10" ht="25.5">
      <c r="A312" s="1627">
        <v>286921</v>
      </c>
      <c r="B312" s="1628">
        <v>415.73099999999999</v>
      </c>
      <c r="C312" s="1632" t="s">
        <v>1687</v>
      </c>
      <c r="D312" s="1479"/>
      <c r="E312" s="1473">
        <v>534742</v>
      </c>
      <c r="F312" s="1473">
        <f t="shared" si="17"/>
        <v>534742</v>
      </c>
      <c r="G312" s="1473">
        <v>0</v>
      </c>
      <c r="H312" s="1473">
        <v>0</v>
      </c>
      <c r="I312" s="1473">
        <v>0</v>
      </c>
      <c r="J312" s="1474" t="s">
        <v>1838</v>
      </c>
    </row>
    <row r="313" spans="1:10" ht="29.25" customHeight="1">
      <c r="A313" s="1627">
        <v>286925</v>
      </c>
      <c r="B313" s="1628">
        <v>415.72800000000001</v>
      </c>
      <c r="C313" s="1632" t="s">
        <v>1834</v>
      </c>
      <c r="D313" s="1479"/>
      <c r="E313" s="1473">
        <v>-75179</v>
      </c>
      <c r="F313" s="1473">
        <f t="shared" si="17"/>
        <v>-75179</v>
      </c>
      <c r="G313" s="1473">
        <v>0</v>
      </c>
      <c r="H313" s="1473">
        <v>0</v>
      </c>
      <c r="I313" s="1473">
        <v>0</v>
      </c>
      <c r="J313" s="1474" t="s">
        <v>1835</v>
      </c>
    </row>
    <row r="314" spans="1:10" ht="25.5">
      <c r="A314" s="1627">
        <v>286926</v>
      </c>
      <c r="B314" s="1628">
        <v>415.72899999999998</v>
      </c>
      <c r="C314" s="1632" t="s">
        <v>1836</v>
      </c>
      <c r="D314" s="1479"/>
      <c r="E314" s="1473">
        <v>265407</v>
      </c>
      <c r="F314" s="1473">
        <f t="shared" si="17"/>
        <v>265407</v>
      </c>
      <c r="G314" s="1473">
        <v>0</v>
      </c>
      <c r="H314" s="1473">
        <v>0</v>
      </c>
      <c r="I314" s="1473">
        <v>0</v>
      </c>
      <c r="J314" s="1474" t="s">
        <v>1837</v>
      </c>
    </row>
    <row r="315" spans="1:10" ht="12.75">
      <c r="A315" s="1627">
        <v>286928</v>
      </c>
      <c r="B315" s="1628">
        <v>415.83300000000003</v>
      </c>
      <c r="C315" s="1632" t="s">
        <v>1850</v>
      </c>
      <c r="D315" s="1479"/>
      <c r="E315" s="1473">
        <v>-314808</v>
      </c>
      <c r="F315" s="1473">
        <f t="shared" si="17"/>
        <v>-314808</v>
      </c>
      <c r="G315" s="1473">
        <v>0</v>
      </c>
      <c r="H315" s="1473">
        <v>0</v>
      </c>
      <c r="I315" s="1473">
        <v>0</v>
      </c>
      <c r="J315" s="1474" t="s">
        <v>1998</v>
      </c>
    </row>
    <row r="316" spans="1:10" ht="25.5">
      <c r="A316" s="1627">
        <v>286929</v>
      </c>
      <c r="B316" s="1628">
        <v>415.84100000000001</v>
      </c>
      <c r="C316" s="1632" t="s">
        <v>1845</v>
      </c>
      <c r="D316" s="1479"/>
      <c r="E316" s="1473">
        <v>65072</v>
      </c>
      <c r="F316" s="1473">
        <f t="shared" si="17"/>
        <v>65072</v>
      </c>
      <c r="G316" s="1473">
        <v>0</v>
      </c>
      <c r="H316" s="1473">
        <v>0</v>
      </c>
      <c r="I316" s="1473">
        <v>0</v>
      </c>
      <c r="J316" s="1474" t="s">
        <v>1846</v>
      </c>
    </row>
    <row r="317" spans="1:10" ht="25.5">
      <c r="A317" s="1627">
        <v>286930</v>
      </c>
      <c r="B317" s="1628">
        <v>415.42599999999999</v>
      </c>
      <c r="C317" s="1632" t="s">
        <v>1839</v>
      </c>
      <c r="D317" s="1479"/>
      <c r="E317" s="1473">
        <v>-1017863</v>
      </c>
      <c r="F317" s="1473">
        <f t="shared" si="17"/>
        <v>-1017863</v>
      </c>
      <c r="G317" s="1473">
        <v>0</v>
      </c>
      <c r="H317" s="1473">
        <v>0</v>
      </c>
      <c r="I317" s="1473">
        <v>0</v>
      </c>
      <c r="J317" s="1474" t="s">
        <v>1999</v>
      </c>
    </row>
    <row r="318" spans="1:10" ht="27" customHeight="1">
      <c r="A318" s="1627">
        <v>286933</v>
      </c>
      <c r="B318" s="1628">
        <v>415.64499999999998</v>
      </c>
      <c r="C318" s="1632" t="s">
        <v>1848</v>
      </c>
      <c r="D318" s="1479"/>
      <c r="E318" s="1473">
        <v>33012</v>
      </c>
      <c r="F318" s="1473">
        <f t="shared" si="17"/>
        <v>33012</v>
      </c>
      <c r="G318" s="1473">
        <v>0</v>
      </c>
      <c r="H318" s="1473">
        <v>0</v>
      </c>
      <c r="I318" s="1473">
        <v>0</v>
      </c>
      <c r="J318" s="1474" t="s">
        <v>1849</v>
      </c>
    </row>
    <row r="319" spans="1:10" ht="25.5">
      <c r="A319" s="1627">
        <v>286935</v>
      </c>
      <c r="B319" s="1628">
        <v>415.25099999999998</v>
      </c>
      <c r="C319" s="1632" t="s">
        <v>2069</v>
      </c>
      <c r="D319" s="1479"/>
      <c r="E319" s="1473">
        <v>885157</v>
      </c>
      <c r="F319" s="1473">
        <f>E319</f>
        <v>885157</v>
      </c>
      <c r="G319" s="1473">
        <v>0</v>
      </c>
      <c r="H319" s="1473">
        <v>0</v>
      </c>
      <c r="I319" s="1473">
        <v>0</v>
      </c>
      <c r="J319" s="1474" t="s">
        <v>2070</v>
      </c>
    </row>
    <row r="320" spans="1:10" ht="38.25">
      <c r="A320" s="1627">
        <v>286936</v>
      </c>
      <c r="B320" s="1628">
        <v>415.255</v>
      </c>
      <c r="C320" s="1632" t="s">
        <v>2000</v>
      </c>
      <c r="D320" s="1479"/>
      <c r="E320" s="1473">
        <v>-48706</v>
      </c>
      <c r="F320" s="1473">
        <f>E320</f>
        <v>-48706</v>
      </c>
      <c r="G320" s="1473">
        <v>0</v>
      </c>
      <c r="H320" s="1473">
        <v>0</v>
      </c>
      <c r="I320" s="1473">
        <v>0</v>
      </c>
      <c r="J320" s="1474" t="s">
        <v>2001</v>
      </c>
    </row>
    <row r="321" spans="1:10" ht="29.25" customHeight="1">
      <c r="A321" s="1627">
        <v>286937</v>
      </c>
      <c r="B321" s="1628">
        <v>415.27</v>
      </c>
      <c r="C321" s="1632" t="s">
        <v>2067</v>
      </c>
      <c r="D321" s="1479"/>
      <c r="E321" s="1473">
        <v>973239</v>
      </c>
      <c r="F321" s="1473">
        <f>+E321</f>
        <v>973239</v>
      </c>
      <c r="G321" s="1473">
        <v>0</v>
      </c>
      <c r="H321" s="1473">
        <v>0</v>
      </c>
      <c r="I321" s="1473">
        <v>0</v>
      </c>
      <c r="J321" s="1474" t="s">
        <v>2068</v>
      </c>
    </row>
    <row r="322" spans="1:10" ht="27" customHeight="1">
      <c r="A322" s="1627">
        <v>286938</v>
      </c>
      <c r="B322" s="1628">
        <v>415.64600000000002</v>
      </c>
      <c r="C322" s="1632" t="s">
        <v>2002</v>
      </c>
      <c r="D322" s="1479"/>
      <c r="E322" s="1473">
        <v>-65</v>
      </c>
      <c r="F322" s="1473">
        <f>E322</f>
        <v>-65</v>
      </c>
      <c r="G322" s="1473">
        <v>0</v>
      </c>
      <c r="H322" s="1473">
        <v>0</v>
      </c>
      <c r="I322" s="1473">
        <v>0</v>
      </c>
      <c r="J322" s="1474" t="s">
        <v>2003</v>
      </c>
    </row>
    <row r="323" spans="1:10" ht="27" customHeight="1">
      <c r="A323" s="1627">
        <v>286940</v>
      </c>
      <c r="B323" s="1628">
        <v>415.25599999999997</v>
      </c>
      <c r="C323" s="1632" t="s">
        <v>2250</v>
      </c>
      <c r="D323" s="1479"/>
      <c r="E323" s="1473">
        <v>-669887</v>
      </c>
      <c r="F323" s="1473">
        <f>E323</f>
        <v>-669887</v>
      </c>
      <c r="G323" s="1473">
        <v>0</v>
      </c>
      <c r="H323" s="1473">
        <v>0</v>
      </c>
      <c r="I323" s="1473">
        <v>0</v>
      </c>
      <c r="J323" s="1474" t="s">
        <v>2251</v>
      </c>
    </row>
    <row r="324" spans="1:10" ht="25.5">
      <c r="A324" s="1627">
        <v>286941</v>
      </c>
      <c r="B324" s="1628">
        <v>415.44</v>
      </c>
      <c r="C324" s="1632" t="s">
        <v>2073</v>
      </c>
      <c r="D324" s="1479"/>
      <c r="E324" s="1473">
        <v>-1786271</v>
      </c>
      <c r="F324" s="1473">
        <f>E324</f>
        <v>-1786271</v>
      </c>
      <c r="G324" s="1473">
        <v>0</v>
      </c>
      <c r="H324" s="1473">
        <v>0</v>
      </c>
      <c r="I324" s="1473">
        <v>0</v>
      </c>
      <c r="J324" s="1474" t="s">
        <v>2074</v>
      </c>
    </row>
    <row r="325" spans="1:10" ht="25.5">
      <c r="A325" s="1627">
        <v>286942</v>
      </c>
      <c r="B325" s="1628">
        <v>415.44099999999997</v>
      </c>
      <c r="C325" s="1632" t="s">
        <v>2075</v>
      </c>
      <c r="D325" s="1479"/>
      <c r="E325" s="1473">
        <v>15859</v>
      </c>
      <c r="F325" s="1473">
        <f>E325</f>
        <v>15859</v>
      </c>
      <c r="G325" s="1473">
        <v>0</v>
      </c>
      <c r="H325" s="1473">
        <v>0</v>
      </c>
      <c r="I325" s="1473">
        <v>0</v>
      </c>
      <c r="J325" s="1474" t="s">
        <v>2076</v>
      </c>
    </row>
    <row r="326" spans="1:10" ht="25.5">
      <c r="A326" s="1627">
        <v>286943</v>
      </c>
      <c r="B326" s="1628">
        <v>415.26299999999998</v>
      </c>
      <c r="C326" s="1632" t="s">
        <v>2063</v>
      </c>
      <c r="D326" s="1479"/>
      <c r="E326" s="1473">
        <v>-429962</v>
      </c>
      <c r="F326" s="1473">
        <f>+E326</f>
        <v>-429962</v>
      </c>
      <c r="G326" s="1473">
        <v>0</v>
      </c>
      <c r="H326" s="1473">
        <v>0</v>
      </c>
      <c r="I326" s="1473">
        <v>0</v>
      </c>
      <c r="J326" s="1474" t="s">
        <v>2064</v>
      </c>
    </row>
    <row r="327" spans="1:10" ht="25.5">
      <c r="A327" s="1627">
        <v>286944</v>
      </c>
      <c r="B327" s="1628">
        <v>415.25200000000001</v>
      </c>
      <c r="C327" s="1632" t="s">
        <v>2071</v>
      </c>
      <c r="D327" s="1479"/>
      <c r="E327" s="1473">
        <v>0</v>
      </c>
      <c r="F327" s="1473">
        <f>E327</f>
        <v>0</v>
      </c>
      <c r="G327" s="1473">
        <v>0</v>
      </c>
      <c r="H327" s="1473">
        <v>0</v>
      </c>
      <c r="I327" s="1473">
        <v>0</v>
      </c>
      <c r="J327" s="1474" t="s">
        <v>2072</v>
      </c>
    </row>
    <row r="328" spans="1:10" ht="25.5">
      <c r="A328" s="1627">
        <v>286946</v>
      </c>
      <c r="B328" s="1628">
        <v>415.26400000000001</v>
      </c>
      <c r="C328" s="1632" t="s">
        <v>2065</v>
      </c>
      <c r="D328" s="1479"/>
      <c r="E328" s="1473">
        <v>-810958</v>
      </c>
      <c r="F328" s="1473">
        <f>+E328</f>
        <v>-810958</v>
      </c>
      <c r="G328" s="1473">
        <v>0</v>
      </c>
      <c r="H328" s="1473">
        <v>0</v>
      </c>
      <c r="I328" s="1473">
        <v>0</v>
      </c>
      <c r="J328" s="1474" t="s">
        <v>2066</v>
      </c>
    </row>
    <row r="329" spans="1:10" ht="27" customHeight="1">
      <c r="A329" s="1627">
        <v>286948</v>
      </c>
      <c r="B329" s="1628">
        <v>415.68099999999998</v>
      </c>
      <c r="C329" s="1632" t="s">
        <v>2138</v>
      </c>
      <c r="D329" s="1479"/>
      <c r="E329" s="1473">
        <v>-43856</v>
      </c>
      <c r="F329" s="1473">
        <f>E329</f>
        <v>-43856</v>
      </c>
      <c r="G329" s="1473">
        <v>0</v>
      </c>
      <c r="H329" s="1473">
        <v>0</v>
      </c>
      <c r="I329" s="1473"/>
      <c r="J329" s="1631" t="s">
        <v>2139</v>
      </c>
    </row>
    <row r="330" spans="1:10" ht="25.5">
      <c r="A330" s="1627">
        <v>286949</v>
      </c>
      <c r="B330" s="1628">
        <v>415.30500000000001</v>
      </c>
      <c r="C330" s="1632" t="s">
        <v>2078</v>
      </c>
      <c r="D330" s="1479"/>
      <c r="E330" s="1473">
        <v>-35053</v>
      </c>
      <c r="F330" s="1473">
        <f>E330</f>
        <v>-35053</v>
      </c>
      <c r="G330" s="1473"/>
      <c r="H330" s="1473"/>
      <c r="I330" s="1473"/>
      <c r="J330" s="1474" t="s">
        <v>2079</v>
      </c>
    </row>
    <row r="331" spans="1:10" ht="27" customHeight="1">
      <c r="A331" s="1627">
        <v>286950</v>
      </c>
      <c r="B331" s="1628">
        <v>415.27100000000002</v>
      </c>
      <c r="C331" s="1632" t="s">
        <v>2252</v>
      </c>
      <c r="D331" s="1479"/>
      <c r="E331" s="1473">
        <v>-965</v>
      </c>
      <c r="F331" s="1473">
        <f>+E331</f>
        <v>-965</v>
      </c>
      <c r="G331" s="1473">
        <v>0</v>
      </c>
      <c r="H331" s="1473">
        <v>0</v>
      </c>
      <c r="I331" s="1473">
        <v>0</v>
      </c>
      <c r="J331" s="1474" t="s">
        <v>2253</v>
      </c>
    </row>
    <row r="332" spans="1:10" ht="27" customHeight="1">
      <c r="A332" s="1627">
        <v>286951</v>
      </c>
      <c r="B332" s="1628">
        <v>415.53300000000002</v>
      </c>
      <c r="C332" s="1632" t="s">
        <v>2132</v>
      </c>
      <c r="D332" s="1479"/>
      <c r="E332" s="1473">
        <v>-3072857</v>
      </c>
      <c r="F332" s="1473">
        <f>E332</f>
        <v>-3072857</v>
      </c>
      <c r="G332" s="1473">
        <v>0</v>
      </c>
      <c r="H332" s="1473">
        <v>0</v>
      </c>
      <c r="I332" s="1473">
        <v>0</v>
      </c>
      <c r="J332" s="1474" t="s">
        <v>2133</v>
      </c>
    </row>
    <row r="333" spans="1:10" ht="27" customHeight="1">
      <c r="A333" s="1627">
        <v>286955</v>
      </c>
      <c r="B333" s="1628">
        <v>415.26499999999999</v>
      </c>
      <c r="C333" s="1632" t="s">
        <v>2254</v>
      </c>
      <c r="D333" s="1479"/>
      <c r="E333" s="1473">
        <v>-870555</v>
      </c>
      <c r="F333" s="1473">
        <f>+E333</f>
        <v>-870555</v>
      </c>
      <c r="G333" s="1473">
        <v>0</v>
      </c>
      <c r="H333" s="1473">
        <v>0</v>
      </c>
      <c r="I333" s="1473">
        <v>0</v>
      </c>
      <c r="J333" s="1474" t="s">
        <v>2255</v>
      </c>
    </row>
    <row r="334" spans="1:10" ht="27" customHeight="1">
      <c r="A334" s="1627">
        <v>286956</v>
      </c>
      <c r="B334" s="1628">
        <v>415.50400000000002</v>
      </c>
      <c r="C334" s="1632" t="s">
        <v>2256</v>
      </c>
      <c r="D334" s="1479"/>
      <c r="E334" s="1473">
        <v>-1921905</v>
      </c>
      <c r="F334" s="1473">
        <f t="shared" ref="F334:F390" si="18">E334</f>
        <v>-1921905</v>
      </c>
      <c r="G334" s="1473">
        <v>0</v>
      </c>
      <c r="H334" s="1473">
        <v>0</v>
      </c>
      <c r="I334" s="1473">
        <v>0</v>
      </c>
      <c r="J334" s="1474" t="s">
        <v>2257</v>
      </c>
    </row>
    <row r="335" spans="1:10" ht="27" customHeight="1">
      <c r="A335" s="1627">
        <v>286957</v>
      </c>
      <c r="B335" s="1628">
        <v>415.505</v>
      </c>
      <c r="C335" s="1632" t="s">
        <v>2258</v>
      </c>
      <c r="D335" s="1479"/>
      <c r="E335" s="1473">
        <v>-9581634</v>
      </c>
      <c r="F335" s="1473">
        <f t="shared" si="18"/>
        <v>-9581634</v>
      </c>
      <c r="G335" s="1473">
        <v>0</v>
      </c>
      <c r="H335" s="1473">
        <v>0</v>
      </c>
      <c r="I335" s="1473">
        <v>0</v>
      </c>
      <c r="J335" s="1474" t="s">
        <v>2259</v>
      </c>
    </row>
    <row r="336" spans="1:10" ht="27" customHeight="1">
      <c r="A336" s="1627">
        <v>287070</v>
      </c>
      <c r="B336" s="1628">
        <v>415.44499999999999</v>
      </c>
      <c r="C336" s="1632" t="s">
        <v>2134</v>
      </c>
      <c r="D336" s="1479"/>
      <c r="E336" s="1473">
        <v>-1962939</v>
      </c>
      <c r="F336" s="1473">
        <f t="shared" si="18"/>
        <v>-1962939</v>
      </c>
      <c r="G336" s="1473">
        <v>0</v>
      </c>
      <c r="H336" s="1473">
        <v>0</v>
      </c>
      <c r="I336" s="1473">
        <v>0</v>
      </c>
      <c r="J336" s="1474" t="s">
        <v>2135</v>
      </c>
    </row>
    <row r="337" spans="1:10" ht="25.5">
      <c r="A337" s="1627">
        <v>287570</v>
      </c>
      <c r="B337" s="1628">
        <v>415.70100000000002</v>
      </c>
      <c r="C337" s="1632" t="s">
        <v>591</v>
      </c>
      <c r="D337" s="1479"/>
      <c r="E337" s="1473">
        <v>-110459</v>
      </c>
      <c r="F337" s="1473">
        <f t="shared" si="18"/>
        <v>-110459</v>
      </c>
      <c r="G337" s="1473">
        <v>0</v>
      </c>
      <c r="H337" s="1473">
        <v>0</v>
      </c>
      <c r="I337" s="1473">
        <v>0</v>
      </c>
      <c r="J337" s="1474" t="s">
        <v>2004</v>
      </c>
    </row>
    <row r="338" spans="1:10" ht="25.5">
      <c r="A338" s="1627">
        <v>287571</v>
      </c>
      <c r="B338" s="1628">
        <v>415.702</v>
      </c>
      <c r="C338" s="1632" t="s">
        <v>614</v>
      </c>
      <c r="D338" s="1479"/>
      <c r="E338" s="1473">
        <v>-152873</v>
      </c>
      <c r="F338" s="1473">
        <f t="shared" si="18"/>
        <v>-152873</v>
      </c>
      <c r="G338" s="1473">
        <v>0</v>
      </c>
      <c r="H338" s="1473">
        <v>0</v>
      </c>
      <c r="I338" s="1473">
        <v>0</v>
      </c>
      <c r="J338" s="1474" t="s">
        <v>615</v>
      </c>
    </row>
    <row r="339" spans="1:10" ht="30.75" customHeight="1">
      <c r="A339" s="1627">
        <v>287573</v>
      </c>
      <c r="B339" s="1628">
        <v>415.87299999999999</v>
      </c>
      <c r="C339" s="1632" t="s">
        <v>2005</v>
      </c>
      <c r="D339" s="1479"/>
      <c r="E339" s="1473">
        <v>-49246177</v>
      </c>
      <c r="F339" s="1473">
        <f t="shared" si="18"/>
        <v>-49246177</v>
      </c>
      <c r="G339" s="1473">
        <v>0</v>
      </c>
      <c r="H339" s="1473">
        <v>0</v>
      </c>
      <c r="I339" s="1473">
        <v>0</v>
      </c>
      <c r="J339" s="1474" t="s">
        <v>2006</v>
      </c>
    </row>
    <row r="340" spans="1:10" ht="15.75" customHeight="1">
      <c r="A340" s="1627">
        <v>287576</v>
      </c>
      <c r="B340" s="1628">
        <v>430.11</v>
      </c>
      <c r="C340" s="1632" t="s">
        <v>604</v>
      </c>
      <c r="D340" s="1479"/>
      <c r="E340" s="1473">
        <v>-1289543</v>
      </c>
      <c r="F340" s="1473">
        <f t="shared" si="18"/>
        <v>-1289543</v>
      </c>
      <c r="G340" s="1473">
        <v>0</v>
      </c>
      <c r="H340" s="1473">
        <v>0</v>
      </c>
      <c r="I340" s="1473">
        <v>0</v>
      </c>
      <c r="J340" s="1474" t="s">
        <v>1659</v>
      </c>
    </row>
    <row r="341" spans="1:10" ht="12.75">
      <c r="A341" s="1627">
        <v>287583</v>
      </c>
      <c r="B341" s="1628">
        <v>415.82600000000002</v>
      </c>
      <c r="C341" s="1632" t="s">
        <v>1696</v>
      </c>
      <c r="D341" s="1479"/>
      <c r="E341" s="1473">
        <v>-934113</v>
      </c>
      <c r="F341" s="1473">
        <f t="shared" si="18"/>
        <v>-934113</v>
      </c>
      <c r="G341" s="1473">
        <v>0</v>
      </c>
      <c r="H341" s="1473">
        <v>0</v>
      </c>
      <c r="I341" s="1473">
        <v>0</v>
      </c>
      <c r="J341" s="1474" t="s">
        <v>2007</v>
      </c>
    </row>
    <row r="342" spans="1:10" ht="25.5">
      <c r="A342" s="1627">
        <v>287590</v>
      </c>
      <c r="B342" s="1628">
        <v>415.84</v>
      </c>
      <c r="C342" s="1632" t="s">
        <v>1844</v>
      </c>
      <c r="D342" s="1479"/>
      <c r="E342" s="1473">
        <v>-41209</v>
      </c>
      <c r="F342" s="1473">
        <f t="shared" si="18"/>
        <v>-41209</v>
      </c>
      <c r="G342" s="1473">
        <v>0</v>
      </c>
      <c r="H342" s="1473">
        <v>0</v>
      </c>
      <c r="I342" s="1473">
        <v>0</v>
      </c>
      <c r="J342" s="1474" t="s">
        <v>2008</v>
      </c>
    </row>
    <row r="343" spans="1:10" ht="25.5">
      <c r="A343" s="1627">
        <v>287591</v>
      </c>
      <c r="B343" s="1628">
        <v>415.30099999999999</v>
      </c>
      <c r="C343" s="1632" t="s">
        <v>608</v>
      </c>
      <c r="D343" s="1479"/>
      <c r="E343" s="1473">
        <v>1123271</v>
      </c>
      <c r="F343" s="1473">
        <f t="shared" si="18"/>
        <v>1123271</v>
      </c>
      <c r="G343" s="1473">
        <v>0</v>
      </c>
      <c r="H343" s="1473">
        <v>0</v>
      </c>
      <c r="I343" s="1473">
        <v>0</v>
      </c>
      <c r="J343" s="1474" t="s">
        <v>609</v>
      </c>
    </row>
    <row r="344" spans="1:10" ht="25.5">
      <c r="A344" s="1627">
        <v>287593</v>
      </c>
      <c r="B344" s="1628">
        <v>415.87400000000002</v>
      </c>
      <c r="C344" s="1632" t="s">
        <v>588</v>
      </c>
      <c r="D344" s="1479"/>
      <c r="E344" s="1473">
        <v>-37493069</v>
      </c>
      <c r="F344" s="1473">
        <f t="shared" si="18"/>
        <v>-37493069</v>
      </c>
      <c r="G344" s="1473">
        <v>0</v>
      </c>
      <c r="H344" s="1473">
        <v>0</v>
      </c>
      <c r="I344" s="1473">
        <v>0</v>
      </c>
      <c r="J344" s="1474" t="s">
        <v>2009</v>
      </c>
    </row>
    <row r="345" spans="1:10" ht="25.5">
      <c r="A345" s="1627">
        <v>287596</v>
      </c>
      <c r="B345" s="1628">
        <v>415.892</v>
      </c>
      <c r="C345" s="1632" t="s">
        <v>586</v>
      </c>
      <c r="D345" s="1479"/>
      <c r="E345" s="1473">
        <v>-20378714</v>
      </c>
      <c r="F345" s="1473">
        <f t="shared" si="18"/>
        <v>-20378714</v>
      </c>
      <c r="G345" s="1473">
        <v>0</v>
      </c>
      <c r="H345" s="1473">
        <v>0</v>
      </c>
      <c r="I345" s="1473">
        <v>0</v>
      </c>
      <c r="J345" s="1474" t="s">
        <v>2010</v>
      </c>
    </row>
    <row r="346" spans="1:10" ht="25.5">
      <c r="A346" s="1627">
        <v>287597</v>
      </c>
      <c r="B346" s="1628">
        <v>415.70299999999997</v>
      </c>
      <c r="C346" s="1632" t="s">
        <v>612</v>
      </c>
      <c r="D346" s="1479"/>
      <c r="E346" s="1473">
        <v>-47022</v>
      </c>
      <c r="F346" s="1473">
        <f t="shared" si="18"/>
        <v>-47022</v>
      </c>
      <c r="G346" s="1473">
        <v>0</v>
      </c>
      <c r="H346" s="1473">
        <v>0</v>
      </c>
      <c r="I346" s="1473">
        <v>0</v>
      </c>
      <c r="J346" s="1474" t="s">
        <v>613</v>
      </c>
    </row>
    <row r="347" spans="1:10" ht="12.75">
      <c r="A347" s="1627">
        <v>287601</v>
      </c>
      <c r="B347" s="1628">
        <v>415.67700000000002</v>
      </c>
      <c r="C347" s="1632" t="s">
        <v>626</v>
      </c>
      <c r="D347" s="1479"/>
      <c r="E347" s="1473">
        <v>0</v>
      </c>
      <c r="F347" s="1473">
        <f t="shared" si="18"/>
        <v>0</v>
      </c>
      <c r="G347" s="1473">
        <v>0</v>
      </c>
      <c r="H347" s="1473">
        <v>0</v>
      </c>
      <c r="I347" s="1473">
        <v>0</v>
      </c>
      <c r="J347" s="1631" t="s">
        <v>2011</v>
      </c>
    </row>
    <row r="348" spans="1:10" ht="30.75" customHeight="1">
      <c r="A348" s="1627">
        <v>287614</v>
      </c>
      <c r="B348" s="1628">
        <v>430.1</v>
      </c>
      <c r="C348" s="1632" t="s">
        <v>597</v>
      </c>
      <c r="D348" s="1479"/>
      <c r="E348" s="1473">
        <v>-63931859</v>
      </c>
      <c r="F348" s="1473">
        <f t="shared" si="18"/>
        <v>-63931859</v>
      </c>
      <c r="G348" s="1473">
        <v>0</v>
      </c>
      <c r="H348" s="1473">
        <v>0</v>
      </c>
      <c r="I348" s="1473">
        <v>0</v>
      </c>
      <c r="J348" s="1474" t="s">
        <v>598</v>
      </c>
    </row>
    <row r="349" spans="1:10" ht="27" customHeight="1">
      <c r="A349" s="1627">
        <v>287634</v>
      </c>
      <c r="B349" s="1628">
        <v>415.3</v>
      </c>
      <c r="C349" s="1632" t="s">
        <v>606</v>
      </c>
      <c r="D349" s="1479"/>
      <c r="E349" s="1473">
        <v>-36858662</v>
      </c>
      <c r="F349" s="1473">
        <f t="shared" si="18"/>
        <v>-36858662</v>
      </c>
      <c r="G349" s="1473">
        <v>0</v>
      </c>
      <c r="H349" s="1473">
        <v>0</v>
      </c>
      <c r="I349" s="1473">
        <v>0</v>
      </c>
      <c r="J349" s="1474" t="s">
        <v>607</v>
      </c>
    </row>
    <row r="350" spans="1:10" ht="25.5">
      <c r="A350" s="1627">
        <v>287640</v>
      </c>
      <c r="B350" s="1628">
        <v>415.68</v>
      </c>
      <c r="C350" s="1632" t="s">
        <v>592</v>
      </c>
      <c r="D350" s="1479"/>
      <c r="E350" s="1473">
        <v>-204811</v>
      </c>
      <c r="F350" s="1473">
        <f t="shared" si="18"/>
        <v>-204811</v>
      </c>
      <c r="G350" s="1473">
        <v>0</v>
      </c>
      <c r="H350" s="1473">
        <v>0</v>
      </c>
      <c r="I350" s="1473">
        <v>0</v>
      </c>
      <c r="J350" s="1631" t="s">
        <v>2012</v>
      </c>
    </row>
    <row r="351" spans="1:10" ht="25.5">
      <c r="A351" s="1627">
        <v>287642</v>
      </c>
      <c r="B351" s="1628">
        <v>105.401</v>
      </c>
      <c r="C351" s="1632" t="s">
        <v>578</v>
      </c>
      <c r="D351" s="1479"/>
      <c r="E351" s="1473">
        <v>-95965602</v>
      </c>
      <c r="F351" s="1473">
        <f t="shared" si="18"/>
        <v>-95965602</v>
      </c>
      <c r="G351" s="1473">
        <v>0</v>
      </c>
      <c r="H351" s="1473">
        <v>0</v>
      </c>
      <c r="I351" s="1473">
        <v>0</v>
      </c>
      <c r="J351" s="1631" t="s">
        <v>579</v>
      </c>
    </row>
    <row r="352" spans="1:10" ht="25.5">
      <c r="A352" s="1627">
        <v>287647</v>
      </c>
      <c r="B352" s="1628">
        <v>425.1</v>
      </c>
      <c r="C352" s="1632" t="s">
        <v>2059</v>
      </c>
      <c r="D352" s="1479"/>
      <c r="E352" s="1473">
        <v>-9835</v>
      </c>
      <c r="F352" s="1473">
        <f t="shared" si="18"/>
        <v>-9835</v>
      </c>
      <c r="G352" s="1473">
        <v>0</v>
      </c>
      <c r="H352" s="1473"/>
      <c r="I352" s="1473">
        <v>0</v>
      </c>
      <c r="J352" s="1474" t="s">
        <v>2060</v>
      </c>
    </row>
    <row r="353" spans="1:10" ht="25.5">
      <c r="A353" s="1627">
        <v>287649</v>
      </c>
      <c r="B353" s="1628">
        <v>730.17</v>
      </c>
      <c r="C353" s="1632" t="s">
        <v>2142</v>
      </c>
      <c r="D353" s="1479"/>
      <c r="E353" s="1473">
        <v>-23827793</v>
      </c>
      <c r="F353" s="1473">
        <f t="shared" si="18"/>
        <v>-23827793</v>
      </c>
      <c r="G353" s="1473">
        <v>0</v>
      </c>
      <c r="H353" s="1473">
        <v>0</v>
      </c>
      <c r="I353" s="1473">
        <v>0</v>
      </c>
      <c r="J353" s="1474" t="s">
        <v>2143</v>
      </c>
    </row>
    <row r="354" spans="1:10" ht="25.5">
      <c r="A354" s="1627">
        <v>287675</v>
      </c>
      <c r="B354" s="1628">
        <v>740.1</v>
      </c>
      <c r="C354" s="1632" t="s">
        <v>622</v>
      </c>
      <c r="D354" s="1479"/>
      <c r="E354" s="1473">
        <v>-411281</v>
      </c>
      <c r="F354" s="1473">
        <f t="shared" si="18"/>
        <v>-411281</v>
      </c>
      <c r="G354" s="1473">
        <v>0</v>
      </c>
      <c r="H354" s="1473">
        <v>0</v>
      </c>
      <c r="I354" s="1473">
        <v>0</v>
      </c>
      <c r="J354" s="1631" t="s">
        <v>623</v>
      </c>
    </row>
    <row r="355" spans="1:10" ht="25.5">
      <c r="A355" s="1627">
        <v>287685</v>
      </c>
      <c r="B355" s="1628">
        <v>425.38</v>
      </c>
      <c r="C355" s="1632" t="s">
        <v>2083</v>
      </c>
      <c r="D355" s="1479"/>
      <c r="E355" s="1473">
        <v>-105711</v>
      </c>
      <c r="F355" s="1473">
        <f t="shared" si="18"/>
        <v>-105711</v>
      </c>
      <c r="G355" s="1473">
        <v>0</v>
      </c>
      <c r="H355" s="1473">
        <v>0</v>
      </c>
      <c r="I355" s="1473">
        <v>0</v>
      </c>
      <c r="J355" s="1474" t="s">
        <v>2084</v>
      </c>
    </row>
    <row r="356" spans="1:10" ht="14.25" customHeight="1">
      <c r="A356" s="1627">
        <v>287738</v>
      </c>
      <c r="B356" s="1628">
        <v>320.27</v>
      </c>
      <c r="C356" s="1632" t="s">
        <v>610</v>
      </c>
      <c r="D356" s="1479"/>
      <c r="E356" s="1473">
        <v>-60497182</v>
      </c>
      <c r="F356" s="1473">
        <f t="shared" si="18"/>
        <v>-60497182</v>
      </c>
      <c r="G356" s="1473">
        <v>0</v>
      </c>
      <c r="H356" s="1473">
        <v>0</v>
      </c>
      <c r="I356" s="1473">
        <v>0</v>
      </c>
      <c r="J356" s="1474" t="s">
        <v>611</v>
      </c>
    </row>
    <row r="357" spans="1:10" ht="25.5">
      <c r="A357" s="1627">
        <v>287747</v>
      </c>
      <c r="B357" s="1628">
        <v>705.24</v>
      </c>
      <c r="C357" s="1632" t="s">
        <v>2147</v>
      </c>
      <c r="D357" s="1479"/>
      <c r="E357" s="1473">
        <v>-851544</v>
      </c>
      <c r="F357" s="1473">
        <f t="shared" si="18"/>
        <v>-851544</v>
      </c>
      <c r="G357" s="1473">
        <v>0</v>
      </c>
      <c r="H357" s="1473">
        <v>0</v>
      </c>
      <c r="I357" s="1473">
        <v>0</v>
      </c>
      <c r="J357" s="1474" t="s">
        <v>2148</v>
      </c>
    </row>
    <row r="358" spans="1:10" ht="27" customHeight="1">
      <c r="A358" s="1627">
        <v>287781</v>
      </c>
      <c r="B358" s="1628">
        <v>415.87</v>
      </c>
      <c r="C358" s="1632" t="s">
        <v>585</v>
      </c>
      <c r="D358" s="1479"/>
      <c r="E358" s="1473">
        <v>-6181535</v>
      </c>
      <c r="F358" s="1473">
        <f t="shared" si="18"/>
        <v>-6181535</v>
      </c>
      <c r="G358" s="1473">
        <v>0</v>
      </c>
      <c r="H358" s="1473">
        <v>0</v>
      </c>
      <c r="I358" s="1473">
        <v>0</v>
      </c>
      <c r="J358" s="1474" t="s">
        <v>2013</v>
      </c>
    </row>
    <row r="359" spans="1:10" ht="30.75" customHeight="1">
      <c r="A359" s="1627">
        <v>287783</v>
      </c>
      <c r="B359" s="1628">
        <v>415.88</v>
      </c>
      <c r="C359" s="1632" t="s">
        <v>589</v>
      </c>
      <c r="D359" s="1479"/>
      <c r="E359" s="1473">
        <v>0</v>
      </c>
      <c r="F359" s="1473">
        <f t="shared" si="18"/>
        <v>0</v>
      </c>
      <c r="G359" s="1473">
        <v>0</v>
      </c>
      <c r="H359" s="1473">
        <v>0</v>
      </c>
      <c r="I359" s="1473">
        <v>0</v>
      </c>
      <c r="J359" s="1631" t="s">
        <v>590</v>
      </c>
    </row>
    <row r="360" spans="1:10" ht="25.5">
      <c r="A360" s="1627">
        <v>287840</v>
      </c>
      <c r="B360" s="1628">
        <v>415.41</v>
      </c>
      <c r="C360" s="1632" t="s">
        <v>605</v>
      </c>
      <c r="D360" s="1479"/>
      <c r="E360" s="1473">
        <v>-39536807</v>
      </c>
      <c r="F360" s="1473">
        <f t="shared" si="18"/>
        <v>-39536807</v>
      </c>
      <c r="G360" s="1473">
        <v>0</v>
      </c>
      <c r="H360" s="1473">
        <v>0</v>
      </c>
      <c r="I360" s="1473">
        <v>0</v>
      </c>
      <c r="J360" s="1474" t="s">
        <v>2014</v>
      </c>
    </row>
    <row r="361" spans="1:10" ht="12.75">
      <c r="A361" s="1627">
        <v>287841</v>
      </c>
      <c r="B361" s="1628">
        <v>415.411</v>
      </c>
      <c r="C361" s="1632" t="s">
        <v>564</v>
      </c>
      <c r="D361" s="1479"/>
      <c r="E361" s="1473">
        <v>317537</v>
      </c>
      <c r="F361" s="1473">
        <f t="shared" si="18"/>
        <v>317537</v>
      </c>
      <c r="G361" s="1473">
        <v>0</v>
      </c>
      <c r="H361" s="1473">
        <v>0</v>
      </c>
      <c r="I361" s="1473">
        <v>0</v>
      </c>
      <c r="J361" s="1474" t="s">
        <v>565</v>
      </c>
    </row>
    <row r="362" spans="1:10" ht="12.75">
      <c r="A362" s="1627">
        <v>287842</v>
      </c>
      <c r="B362" s="1628">
        <v>415.41199999999998</v>
      </c>
      <c r="C362" s="1632" t="s">
        <v>566</v>
      </c>
      <c r="D362" s="1479"/>
      <c r="E362" s="1473">
        <v>0</v>
      </c>
      <c r="F362" s="1473">
        <f t="shared" si="18"/>
        <v>0</v>
      </c>
      <c r="G362" s="1473">
        <v>0</v>
      </c>
      <c r="H362" s="1473">
        <v>0</v>
      </c>
      <c r="I362" s="1473">
        <v>0</v>
      </c>
      <c r="J362" s="1474" t="s">
        <v>567</v>
      </c>
    </row>
    <row r="363" spans="1:10" ht="12.75">
      <c r="A363" s="1627">
        <v>287843</v>
      </c>
      <c r="B363" s="1628">
        <v>415.41300000000001</v>
      </c>
      <c r="C363" s="1632" t="s">
        <v>568</v>
      </c>
      <c r="D363" s="1479"/>
      <c r="E363" s="1473">
        <v>150542</v>
      </c>
      <c r="F363" s="1473">
        <f t="shared" si="18"/>
        <v>150542</v>
      </c>
      <c r="G363" s="1473">
        <v>0</v>
      </c>
      <c r="H363" s="1473">
        <v>0</v>
      </c>
      <c r="I363" s="1473">
        <v>0</v>
      </c>
      <c r="J363" s="1474" t="s">
        <v>569</v>
      </c>
    </row>
    <row r="364" spans="1:10" ht="12.75">
      <c r="A364" s="1627">
        <v>287845</v>
      </c>
      <c r="B364" s="1628">
        <v>415.41500000000002</v>
      </c>
      <c r="C364" s="1632" t="s">
        <v>570</v>
      </c>
      <c r="D364" s="1479"/>
      <c r="E364" s="1473">
        <v>1121428</v>
      </c>
      <c r="F364" s="1473">
        <f t="shared" si="18"/>
        <v>1121428</v>
      </c>
      <c r="G364" s="1473">
        <v>0</v>
      </c>
      <c r="H364" s="1473">
        <v>0</v>
      </c>
      <c r="I364" s="1473">
        <v>0</v>
      </c>
      <c r="J364" s="1474" t="s">
        <v>571</v>
      </c>
    </row>
    <row r="365" spans="1:10" ht="12.75">
      <c r="A365" s="1627">
        <v>287846</v>
      </c>
      <c r="B365" s="1628">
        <v>415.416</v>
      </c>
      <c r="C365" s="1632" t="s">
        <v>572</v>
      </c>
      <c r="D365" s="1479"/>
      <c r="E365" s="1473">
        <v>976131</v>
      </c>
      <c r="F365" s="1473">
        <f t="shared" si="18"/>
        <v>976131</v>
      </c>
      <c r="G365" s="1473">
        <v>0</v>
      </c>
      <c r="H365" s="1473">
        <v>0</v>
      </c>
      <c r="I365" s="1473">
        <v>0</v>
      </c>
      <c r="J365" s="1474" t="s">
        <v>573</v>
      </c>
    </row>
    <row r="366" spans="1:10" ht="25.5">
      <c r="A366" s="1627">
        <v>287848</v>
      </c>
      <c r="B366" s="1628">
        <v>320.28100000000001</v>
      </c>
      <c r="C366" s="1632" t="s">
        <v>633</v>
      </c>
      <c r="D366" s="1479"/>
      <c r="E366" s="1473">
        <v>0</v>
      </c>
      <c r="F366" s="1473">
        <f t="shared" si="18"/>
        <v>0</v>
      </c>
      <c r="G366" s="1473">
        <v>0</v>
      </c>
      <c r="H366" s="1473">
        <v>0</v>
      </c>
      <c r="I366" s="1473">
        <v>0</v>
      </c>
      <c r="J366" s="1631" t="s">
        <v>634</v>
      </c>
    </row>
    <row r="367" spans="1:10" ht="12" customHeight="1">
      <c r="A367" s="1627">
        <v>287849</v>
      </c>
      <c r="B367" s="1628">
        <v>415.42399999999998</v>
      </c>
      <c r="C367" s="1632" t="s">
        <v>562</v>
      </c>
      <c r="D367" s="1479"/>
      <c r="E367" s="1473">
        <v>14327978</v>
      </c>
      <c r="F367" s="1473">
        <f t="shared" si="18"/>
        <v>14327978</v>
      </c>
      <c r="G367" s="1473">
        <v>0</v>
      </c>
      <c r="H367" s="1473">
        <v>0</v>
      </c>
      <c r="I367" s="1473">
        <v>0</v>
      </c>
      <c r="J367" s="1631" t="s">
        <v>563</v>
      </c>
    </row>
    <row r="368" spans="1:10" ht="25.5" customHeight="1">
      <c r="A368" s="1627">
        <v>287850</v>
      </c>
      <c r="B368" s="1628">
        <v>415.42500000000001</v>
      </c>
      <c r="C368" s="1632" t="s">
        <v>574</v>
      </c>
      <c r="D368" s="1479"/>
      <c r="E368" s="1473">
        <v>810572</v>
      </c>
      <c r="F368" s="1473">
        <f t="shared" si="18"/>
        <v>810572</v>
      </c>
      <c r="G368" s="1473">
        <v>0</v>
      </c>
      <c r="H368" s="1473">
        <v>0</v>
      </c>
      <c r="I368" s="1473">
        <v>0</v>
      </c>
      <c r="J368" s="1474" t="s">
        <v>575</v>
      </c>
    </row>
    <row r="369" spans="1:10" ht="38.25">
      <c r="A369" s="1627">
        <v>287855</v>
      </c>
      <c r="B369" s="1628">
        <v>415.42099999999999</v>
      </c>
      <c r="C369" s="1632" t="s">
        <v>576</v>
      </c>
      <c r="D369" s="1479"/>
      <c r="E369" s="1473">
        <v>1380933</v>
      </c>
      <c r="F369" s="1473">
        <f t="shared" si="18"/>
        <v>1380933</v>
      </c>
      <c r="G369" s="1473">
        <v>0</v>
      </c>
      <c r="H369" s="1473">
        <v>0</v>
      </c>
      <c r="I369" s="1473">
        <v>0</v>
      </c>
      <c r="J369" s="1474" t="s">
        <v>577</v>
      </c>
    </row>
    <row r="370" spans="1:10" ht="12.75">
      <c r="A370" s="1627">
        <v>287858</v>
      </c>
      <c r="B370" s="1628">
        <v>415.67599999999999</v>
      </c>
      <c r="C370" s="1632" t="s">
        <v>624</v>
      </c>
      <c r="D370" s="1479"/>
      <c r="E370" s="1473">
        <v>0</v>
      </c>
      <c r="F370" s="1473">
        <f t="shared" si="18"/>
        <v>0</v>
      </c>
      <c r="G370" s="1473">
        <v>0</v>
      </c>
      <c r="H370" s="1473">
        <v>0</v>
      </c>
      <c r="I370" s="1473">
        <v>0</v>
      </c>
      <c r="J370" s="1631" t="s">
        <v>2015</v>
      </c>
    </row>
    <row r="371" spans="1:10" ht="12.75">
      <c r="A371" s="1627">
        <v>287860</v>
      </c>
      <c r="B371" s="1628">
        <v>415.85500000000002</v>
      </c>
      <c r="C371" s="1632" t="s">
        <v>628</v>
      </c>
      <c r="D371" s="1479"/>
      <c r="E371" s="1473">
        <v>-5286936</v>
      </c>
      <c r="F371" s="1473">
        <f t="shared" si="18"/>
        <v>-5286936</v>
      </c>
      <c r="G371" s="1473">
        <v>0</v>
      </c>
      <c r="H371" s="1473">
        <v>0</v>
      </c>
      <c r="I371" s="1473">
        <v>0</v>
      </c>
      <c r="J371" s="1631" t="s">
        <v>2022</v>
      </c>
    </row>
    <row r="372" spans="1:10" ht="25.5">
      <c r="A372" s="1627">
        <v>287861</v>
      </c>
      <c r="B372" s="1628">
        <v>415.85700000000003</v>
      </c>
      <c r="C372" s="1632" t="s">
        <v>593</v>
      </c>
      <c r="D372" s="1479"/>
      <c r="E372" s="1473">
        <v>-232513</v>
      </c>
      <c r="F372" s="1473">
        <f t="shared" si="18"/>
        <v>-232513</v>
      </c>
      <c r="G372" s="1473">
        <v>0</v>
      </c>
      <c r="H372" s="1473">
        <v>0</v>
      </c>
      <c r="I372" s="1473">
        <v>0</v>
      </c>
      <c r="J372" s="1631" t="s">
        <v>594</v>
      </c>
    </row>
    <row r="373" spans="1:10" ht="25.5">
      <c r="A373" s="1627">
        <v>287868</v>
      </c>
      <c r="B373" s="1628">
        <v>415.858</v>
      </c>
      <c r="C373" s="1632" t="s">
        <v>595</v>
      </c>
      <c r="D373" s="1479"/>
      <c r="E373" s="1473">
        <v>-520351</v>
      </c>
      <c r="F373" s="1473">
        <f t="shared" si="18"/>
        <v>-520351</v>
      </c>
      <c r="G373" s="1473">
        <v>0</v>
      </c>
      <c r="H373" s="1473">
        <v>0</v>
      </c>
      <c r="I373" s="1473">
        <v>0</v>
      </c>
      <c r="J373" s="1631" t="s">
        <v>596</v>
      </c>
    </row>
    <row r="374" spans="1:10" ht="25.5">
      <c r="A374" s="1627">
        <v>287871</v>
      </c>
      <c r="B374" s="1628">
        <v>415.86599999999999</v>
      </c>
      <c r="C374" s="1632" t="s">
        <v>627</v>
      </c>
      <c r="D374" s="1479"/>
      <c r="E374" s="1473">
        <v>-1127215</v>
      </c>
      <c r="F374" s="1473">
        <f t="shared" si="18"/>
        <v>-1127215</v>
      </c>
      <c r="G374" s="1473">
        <v>0</v>
      </c>
      <c r="H374" s="1473">
        <v>0</v>
      </c>
      <c r="I374" s="1473">
        <v>0</v>
      </c>
      <c r="J374" s="1631" t="s">
        <v>2016</v>
      </c>
    </row>
    <row r="375" spans="1:10" ht="25.5">
      <c r="A375" s="1627">
        <v>287882</v>
      </c>
      <c r="B375" s="1628">
        <v>415.87599999999998</v>
      </c>
      <c r="C375" s="1632" t="s">
        <v>1692</v>
      </c>
      <c r="D375" s="1479"/>
      <c r="E375" s="1473">
        <v>-57439512</v>
      </c>
      <c r="F375" s="1473">
        <f t="shared" si="18"/>
        <v>-57439512</v>
      </c>
      <c r="G375" s="1473">
        <v>0</v>
      </c>
      <c r="H375" s="1473">
        <v>0</v>
      </c>
      <c r="I375" s="1473">
        <v>0</v>
      </c>
      <c r="J375" s="1474" t="s">
        <v>2017</v>
      </c>
    </row>
    <row r="376" spans="1:10" ht="28.5" customHeight="1">
      <c r="A376" s="1627">
        <v>287887</v>
      </c>
      <c r="B376" s="1628">
        <v>415.88099999999997</v>
      </c>
      <c r="C376" s="1632" t="s">
        <v>2140</v>
      </c>
      <c r="D376" s="1479"/>
      <c r="E376" s="1473">
        <v>-550058</v>
      </c>
      <c r="F376" s="1473">
        <f t="shared" si="18"/>
        <v>-550058</v>
      </c>
      <c r="G376" s="1473">
        <v>0</v>
      </c>
      <c r="H376" s="1473">
        <v>0</v>
      </c>
      <c r="I376" s="1473">
        <v>0</v>
      </c>
      <c r="J376" s="1631" t="s">
        <v>2141</v>
      </c>
    </row>
    <row r="377" spans="1:10" ht="25.5" customHeight="1">
      <c r="A377" s="1627">
        <v>287889</v>
      </c>
      <c r="B377" s="1628">
        <v>415.88299999999998</v>
      </c>
      <c r="C377" s="1632" t="s">
        <v>2144</v>
      </c>
      <c r="D377" s="1479"/>
      <c r="E377" s="1473">
        <v>-83404</v>
      </c>
      <c r="F377" s="1473">
        <f t="shared" si="18"/>
        <v>-83404</v>
      </c>
      <c r="G377" s="1473">
        <v>0</v>
      </c>
      <c r="H377" s="1473">
        <v>0</v>
      </c>
      <c r="I377" s="1473">
        <v>0</v>
      </c>
      <c r="J377" s="1631" t="s">
        <v>2018</v>
      </c>
    </row>
    <row r="378" spans="1:10" ht="12.75">
      <c r="A378" s="1627">
        <v>287896</v>
      </c>
      <c r="B378" s="1628">
        <v>415.875</v>
      </c>
      <c r="C378" s="1632" t="s">
        <v>587</v>
      </c>
      <c r="D378" s="1479"/>
      <c r="E378" s="1473">
        <v>-146449861</v>
      </c>
      <c r="F378" s="1473">
        <f t="shared" si="18"/>
        <v>-146449861</v>
      </c>
      <c r="G378" s="1473">
        <v>0</v>
      </c>
      <c r="H378" s="1473">
        <v>0</v>
      </c>
      <c r="I378" s="1473">
        <v>0</v>
      </c>
      <c r="J378" s="1474" t="s">
        <v>2080</v>
      </c>
    </row>
    <row r="379" spans="1:10" ht="25.5">
      <c r="A379" s="1627">
        <v>287899</v>
      </c>
      <c r="B379" s="1628">
        <v>415.87799999999999</v>
      </c>
      <c r="C379" s="1632" t="s">
        <v>629</v>
      </c>
      <c r="D379" s="1479"/>
      <c r="E379" s="1473">
        <v>-77448</v>
      </c>
      <c r="F379" s="1473">
        <f t="shared" si="18"/>
        <v>-77448</v>
      </c>
      <c r="G379" s="1473">
        <v>0</v>
      </c>
      <c r="H379" s="1473">
        <v>0</v>
      </c>
      <c r="I379" s="1473">
        <v>0</v>
      </c>
      <c r="J379" s="1631" t="s">
        <v>2260</v>
      </c>
    </row>
    <row r="380" spans="1:10" ht="38.25">
      <c r="A380" s="1627">
        <v>287903</v>
      </c>
      <c r="B380" s="1628">
        <v>415.87900000000002</v>
      </c>
      <c r="C380" s="1632" t="s">
        <v>616</v>
      </c>
      <c r="D380" s="1479"/>
      <c r="E380" s="1473">
        <v>-12630</v>
      </c>
      <c r="F380" s="1473">
        <f t="shared" si="18"/>
        <v>-12630</v>
      </c>
      <c r="G380" s="1473">
        <v>0</v>
      </c>
      <c r="H380" s="1473">
        <v>0</v>
      </c>
      <c r="I380" s="1473">
        <v>0</v>
      </c>
      <c r="J380" s="1474" t="s">
        <v>617</v>
      </c>
    </row>
    <row r="381" spans="1:10" ht="12.75">
      <c r="A381" s="1627">
        <v>287906</v>
      </c>
      <c r="B381" s="1628">
        <v>415.863</v>
      </c>
      <c r="C381" s="1632" t="s">
        <v>631</v>
      </c>
      <c r="D381" s="1479"/>
      <c r="E381" s="1473">
        <v>-436921</v>
      </c>
      <c r="F381" s="1473">
        <f t="shared" si="18"/>
        <v>-436921</v>
      </c>
      <c r="G381" s="1473">
        <v>0</v>
      </c>
      <c r="H381" s="1473">
        <v>0</v>
      </c>
      <c r="I381" s="1473">
        <v>0</v>
      </c>
      <c r="J381" s="1631" t="s">
        <v>632</v>
      </c>
    </row>
    <row r="382" spans="1:10" ht="25.5">
      <c r="A382" s="1627">
        <v>287911</v>
      </c>
      <c r="B382" s="1628">
        <v>415.69900000000001</v>
      </c>
      <c r="C382" s="1632" t="s">
        <v>580</v>
      </c>
      <c r="D382" s="1479"/>
      <c r="E382" s="1473">
        <v>0</v>
      </c>
      <c r="F382" s="1473">
        <f t="shared" si="18"/>
        <v>0</v>
      </c>
      <c r="G382" s="1473">
        <v>0</v>
      </c>
      <c r="H382" s="1473">
        <v>0</v>
      </c>
      <c r="I382" s="1473">
        <v>0</v>
      </c>
      <c r="J382" s="1474" t="s">
        <v>2236</v>
      </c>
    </row>
    <row r="383" spans="1:10" ht="25.5">
      <c r="A383" s="1627">
        <v>287914</v>
      </c>
      <c r="B383" s="1628">
        <v>715.721</v>
      </c>
      <c r="C383" s="1632" t="s">
        <v>2081</v>
      </c>
      <c r="D383" s="1479"/>
      <c r="E383" s="1473">
        <v>-326975</v>
      </c>
      <c r="F383" s="1473">
        <f t="shared" si="18"/>
        <v>-326975</v>
      </c>
      <c r="G383" s="1473">
        <v>0</v>
      </c>
      <c r="H383" s="1473">
        <v>0</v>
      </c>
      <c r="I383" s="1473">
        <v>0</v>
      </c>
      <c r="J383" s="1631" t="s">
        <v>2082</v>
      </c>
    </row>
    <row r="384" spans="1:10" ht="25.5">
      <c r="A384" s="1627">
        <v>287917</v>
      </c>
      <c r="B384" s="1628">
        <v>705.45100000000002</v>
      </c>
      <c r="C384" s="1632" t="s">
        <v>635</v>
      </c>
      <c r="D384" s="1479"/>
      <c r="E384" s="1473">
        <v>-10286542</v>
      </c>
      <c r="F384" s="1473">
        <f t="shared" si="18"/>
        <v>-10286542</v>
      </c>
      <c r="G384" s="1473">
        <v>0</v>
      </c>
      <c r="H384" s="1473">
        <v>0</v>
      </c>
      <c r="I384" s="1473">
        <v>0</v>
      </c>
      <c r="J384" s="1631" t="s">
        <v>388</v>
      </c>
    </row>
    <row r="385" spans="1:11" ht="12.75">
      <c r="A385" s="1627">
        <v>287919</v>
      </c>
      <c r="B385" s="1628">
        <v>425.10500000000002</v>
      </c>
      <c r="C385" s="1632" t="s">
        <v>618</v>
      </c>
      <c r="D385" s="1479"/>
      <c r="E385" s="1473">
        <v>0</v>
      </c>
      <c r="F385" s="1473">
        <f t="shared" si="18"/>
        <v>0</v>
      </c>
      <c r="G385" s="1473">
        <v>0</v>
      </c>
      <c r="H385" s="1473">
        <v>0</v>
      </c>
      <c r="I385" s="1473">
        <v>0</v>
      </c>
      <c r="J385" s="1474" t="s">
        <v>2020</v>
      </c>
    </row>
    <row r="386" spans="1:11" ht="70.5" customHeight="1">
      <c r="A386" s="1627">
        <v>287927</v>
      </c>
      <c r="B386" s="1628">
        <v>100.11</v>
      </c>
      <c r="C386" s="1632" t="s">
        <v>1568</v>
      </c>
      <c r="D386" s="1479"/>
      <c r="E386" s="1473">
        <v>-105312</v>
      </c>
      <c r="F386" s="1473">
        <f t="shared" si="18"/>
        <v>-105312</v>
      </c>
      <c r="G386" s="1473">
        <v>0</v>
      </c>
      <c r="H386" s="1473">
        <v>0</v>
      </c>
      <c r="I386" s="1473">
        <v>0</v>
      </c>
      <c r="J386" s="1631" t="s">
        <v>2261</v>
      </c>
    </row>
    <row r="387" spans="1:11" ht="27" customHeight="1">
      <c r="A387" s="1627">
        <v>287935</v>
      </c>
      <c r="B387" s="1628">
        <v>415.93599999999998</v>
      </c>
      <c r="C387" s="1632" t="s">
        <v>583</v>
      </c>
      <c r="D387" s="1479"/>
      <c r="E387" s="1473">
        <v>-44130</v>
      </c>
      <c r="F387" s="1473">
        <f t="shared" si="18"/>
        <v>-44130</v>
      </c>
      <c r="G387" s="1473">
        <v>0</v>
      </c>
      <c r="H387" s="1473">
        <v>0</v>
      </c>
      <c r="I387" s="1473">
        <v>0</v>
      </c>
      <c r="J387" s="1474" t="s">
        <v>584</v>
      </c>
    </row>
    <row r="388" spans="1:11" ht="28.5" customHeight="1">
      <c r="A388" s="1627">
        <v>287939</v>
      </c>
      <c r="B388" s="1628">
        <v>415.11500000000001</v>
      </c>
      <c r="C388" s="1632" t="s">
        <v>664</v>
      </c>
      <c r="D388" s="1479"/>
      <c r="E388" s="1473">
        <v>0</v>
      </c>
      <c r="F388" s="1473">
        <f t="shared" si="18"/>
        <v>0</v>
      </c>
      <c r="G388" s="1473">
        <v>0</v>
      </c>
      <c r="H388" s="1473">
        <v>0</v>
      </c>
      <c r="I388" s="1473">
        <v>0</v>
      </c>
      <c r="J388" s="1631" t="s">
        <v>2021</v>
      </c>
      <c r="K388" s="1466"/>
    </row>
    <row r="389" spans="1:11" ht="13.5" customHeight="1">
      <c r="A389" s="1627">
        <v>287942</v>
      </c>
      <c r="B389" s="1628">
        <v>430.11200000000002</v>
      </c>
      <c r="C389" s="1632" t="s">
        <v>619</v>
      </c>
      <c r="D389" s="1479"/>
      <c r="E389" s="1473">
        <v>-9630645</v>
      </c>
      <c r="F389" s="1473">
        <f t="shared" si="18"/>
        <v>-9630645</v>
      </c>
      <c r="G389" s="1473">
        <v>0</v>
      </c>
      <c r="H389" s="1473">
        <v>0</v>
      </c>
      <c r="I389" s="1473">
        <v>0</v>
      </c>
      <c r="J389" s="1474" t="s">
        <v>1659</v>
      </c>
    </row>
    <row r="390" spans="1:11" ht="12.75">
      <c r="A390" s="1627">
        <v>287971</v>
      </c>
      <c r="B390" s="1628">
        <v>415.86799999999999</v>
      </c>
      <c r="C390" s="1632" t="s">
        <v>662</v>
      </c>
      <c r="D390" s="1479"/>
      <c r="E390" s="1473">
        <v>0</v>
      </c>
      <c r="F390" s="1473">
        <f t="shared" si="18"/>
        <v>0</v>
      </c>
      <c r="G390" s="1473">
        <v>0</v>
      </c>
      <c r="H390" s="1473">
        <v>0</v>
      </c>
      <c r="I390" s="1473">
        <v>0</v>
      </c>
      <c r="J390" s="1631" t="s">
        <v>663</v>
      </c>
    </row>
    <row r="391" spans="1:11" ht="13.5" customHeight="1">
      <c r="A391" s="1627">
        <v>287972</v>
      </c>
      <c r="B391" s="1628">
        <v>320.28500000000003</v>
      </c>
      <c r="C391" s="1632" t="s">
        <v>620</v>
      </c>
      <c r="D391" s="1479"/>
      <c r="E391" s="1473">
        <v>3394364</v>
      </c>
      <c r="F391" s="1473">
        <v>0</v>
      </c>
      <c r="G391" s="1473">
        <v>0</v>
      </c>
      <c r="H391" s="1473">
        <v>0</v>
      </c>
      <c r="I391" s="1473">
        <f>E391</f>
        <v>3394364</v>
      </c>
      <c r="J391" s="1631" t="s">
        <v>621</v>
      </c>
    </row>
    <row r="392" spans="1:11" ht="25.5">
      <c r="A392" s="1627">
        <v>287975</v>
      </c>
      <c r="B392" s="1628">
        <v>415.65499999999997</v>
      </c>
      <c r="C392" s="1632" t="s">
        <v>1847</v>
      </c>
      <c r="D392" s="1479"/>
      <c r="E392" s="1473">
        <v>-784814</v>
      </c>
      <c r="F392" s="1473">
        <f t="shared" ref="F392:F400" si="19">E392</f>
        <v>-784814</v>
      </c>
      <c r="G392" s="1473">
        <v>0</v>
      </c>
      <c r="H392" s="1473">
        <v>0</v>
      </c>
      <c r="I392" s="1473">
        <v>0</v>
      </c>
      <c r="J392" s="1474" t="s">
        <v>2077</v>
      </c>
    </row>
    <row r="393" spans="1:11" ht="38.25">
      <c r="A393" s="1627">
        <v>287977</v>
      </c>
      <c r="B393" s="1628">
        <v>415.88499999999999</v>
      </c>
      <c r="C393" s="1632" t="s">
        <v>2145</v>
      </c>
      <c r="D393" s="1479"/>
      <c r="E393" s="1473">
        <v>0</v>
      </c>
      <c r="F393" s="1473">
        <f t="shared" si="19"/>
        <v>0</v>
      </c>
      <c r="G393" s="1473">
        <v>0</v>
      </c>
      <c r="H393" s="1473">
        <v>0</v>
      </c>
      <c r="I393" s="1473">
        <v>0</v>
      </c>
      <c r="J393" s="1631" t="s">
        <v>2146</v>
      </c>
    </row>
    <row r="394" spans="1:11" ht="38.25">
      <c r="A394" s="1627">
        <v>287978</v>
      </c>
      <c r="B394" s="1628">
        <v>415.90600000000001</v>
      </c>
      <c r="C394" s="1632" t="s">
        <v>2136</v>
      </c>
      <c r="D394" s="1479"/>
      <c r="E394" s="1473">
        <v>0</v>
      </c>
      <c r="F394" s="1473">
        <f t="shared" si="19"/>
        <v>0</v>
      </c>
      <c r="G394" s="1473">
        <v>0</v>
      </c>
      <c r="H394" s="1473">
        <v>0</v>
      </c>
      <c r="I394" s="1473">
        <v>0</v>
      </c>
      <c r="J394" s="1474" t="s">
        <v>2137</v>
      </c>
    </row>
    <row r="395" spans="1:11" ht="38.25">
      <c r="A395" s="1627">
        <v>287981</v>
      </c>
      <c r="B395" s="1628">
        <v>415.92</v>
      </c>
      <c r="C395" s="1632" t="s">
        <v>599</v>
      </c>
      <c r="D395" s="1479"/>
      <c r="E395" s="1473">
        <v>-856862</v>
      </c>
      <c r="F395" s="1473">
        <f t="shared" si="19"/>
        <v>-856862</v>
      </c>
      <c r="G395" s="1473">
        <v>0</v>
      </c>
      <c r="H395" s="1473">
        <v>0</v>
      </c>
      <c r="I395" s="1473">
        <v>0</v>
      </c>
      <c r="J395" s="1474" t="s">
        <v>2262</v>
      </c>
    </row>
    <row r="396" spans="1:11" ht="25.5">
      <c r="A396" s="1627">
        <v>287982</v>
      </c>
      <c r="B396" s="1628">
        <v>415.92099999999999</v>
      </c>
      <c r="C396" s="1632" t="s">
        <v>600</v>
      </c>
      <c r="D396" s="1479"/>
      <c r="E396" s="1473">
        <v>-204630</v>
      </c>
      <c r="F396" s="1473">
        <f t="shared" si="19"/>
        <v>-204630</v>
      </c>
      <c r="G396" s="1473">
        <v>0</v>
      </c>
      <c r="H396" s="1473">
        <v>0</v>
      </c>
      <c r="I396" s="1473">
        <v>0</v>
      </c>
      <c r="J396" s="1474" t="s">
        <v>2263</v>
      </c>
    </row>
    <row r="397" spans="1:11" ht="25.5">
      <c r="A397" s="1627">
        <v>287983</v>
      </c>
      <c r="B397" s="1628">
        <v>415.92200000000003</v>
      </c>
      <c r="C397" s="1632" t="s">
        <v>602</v>
      </c>
      <c r="D397" s="1479"/>
      <c r="E397" s="1473">
        <v>-706678</v>
      </c>
      <c r="F397" s="1473">
        <f t="shared" si="19"/>
        <v>-706678</v>
      </c>
      <c r="G397" s="1473">
        <v>0</v>
      </c>
      <c r="H397" s="1473">
        <v>0</v>
      </c>
      <c r="I397" s="1473">
        <v>0</v>
      </c>
      <c r="J397" s="1474" t="s">
        <v>603</v>
      </c>
    </row>
    <row r="398" spans="1:11" ht="38.25">
      <c r="A398" s="1627">
        <v>287985</v>
      </c>
      <c r="B398" s="1628">
        <v>415.92399999999998</v>
      </c>
      <c r="C398" s="1632" t="s">
        <v>2024</v>
      </c>
      <c r="D398" s="1479"/>
      <c r="E398" s="1473">
        <v>-4728123</v>
      </c>
      <c r="F398" s="1473">
        <f t="shared" si="19"/>
        <v>-4728123</v>
      </c>
      <c r="G398" s="1473">
        <v>0</v>
      </c>
      <c r="H398" s="1473">
        <v>0</v>
      </c>
      <c r="I398" s="1473">
        <v>0</v>
      </c>
      <c r="J398" s="1474" t="s">
        <v>2025</v>
      </c>
    </row>
    <row r="399" spans="1:11" ht="12.75">
      <c r="A399" s="1627">
        <v>287996</v>
      </c>
      <c r="B399" s="1628">
        <v>415.67500000000001</v>
      </c>
      <c r="C399" s="1632" t="s">
        <v>625</v>
      </c>
      <c r="D399" s="1479"/>
      <c r="E399" s="1473">
        <v>0</v>
      </c>
      <c r="F399" s="1473">
        <f t="shared" si="19"/>
        <v>0</v>
      </c>
      <c r="G399" s="1473">
        <v>0</v>
      </c>
      <c r="H399" s="1473">
        <v>0</v>
      </c>
      <c r="I399" s="1473">
        <v>0</v>
      </c>
      <c r="J399" s="1631" t="s">
        <v>2026</v>
      </c>
    </row>
    <row r="400" spans="1:11" ht="30.75" customHeight="1">
      <c r="A400" s="1627">
        <v>287997</v>
      </c>
      <c r="B400" s="1628">
        <v>415.86200000000002</v>
      </c>
      <c r="C400" s="1632" t="s">
        <v>581</v>
      </c>
      <c r="D400" s="1479"/>
      <c r="E400" s="1473">
        <v>-40856</v>
      </c>
      <c r="F400" s="1473">
        <f t="shared" si="19"/>
        <v>-40856</v>
      </c>
      <c r="G400" s="1473">
        <v>0</v>
      </c>
      <c r="H400" s="1473">
        <v>0</v>
      </c>
      <c r="I400" s="1473">
        <v>0</v>
      </c>
      <c r="J400" s="1474" t="s">
        <v>582</v>
      </c>
    </row>
    <row r="401" spans="1:10" ht="12.75">
      <c r="A401" s="1470" t="s">
        <v>636</v>
      </c>
      <c r="B401" s="1628"/>
      <c r="C401" s="1632"/>
      <c r="D401" s="1479"/>
      <c r="E401" s="1473"/>
      <c r="F401" s="1708"/>
      <c r="G401" s="1708"/>
      <c r="H401" s="1708"/>
      <c r="I401" s="1708"/>
      <c r="J401" s="1631"/>
    </row>
    <row r="402" spans="1:10" ht="25.5">
      <c r="A402" s="1627">
        <v>286908</v>
      </c>
      <c r="B402" s="1628">
        <v>210.20099999999999</v>
      </c>
      <c r="C402" s="1632" t="s">
        <v>667</v>
      </c>
      <c r="D402" s="1479"/>
      <c r="E402" s="1473">
        <v>0</v>
      </c>
      <c r="F402" s="1473">
        <v>0</v>
      </c>
      <c r="G402" s="1473">
        <v>0</v>
      </c>
      <c r="H402" s="1473">
        <f>+E402</f>
        <v>0</v>
      </c>
      <c r="I402" s="1473">
        <v>0</v>
      </c>
      <c r="J402" s="1631" t="s">
        <v>1700</v>
      </c>
    </row>
    <row r="403" spans="1:10" ht="25.5">
      <c r="A403" s="1627">
        <v>286909</v>
      </c>
      <c r="B403" s="1628">
        <v>720.81500000000005</v>
      </c>
      <c r="C403" s="1629" t="s">
        <v>665</v>
      </c>
      <c r="D403" s="1479"/>
      <c r="E403" s="1473">
        <v>-16664762</v>
      </c>
      <c r="F403" s="1473">
        <f t="shared" ref="F403:F412" si="20">E403</f>
        <v>-16664762</v>
      </c>
      <c r="G403" s="1473">
        <v>0</v>
      </c>
      <c r="H403" s="1473">
        <v>0</v>
      </c>
      <c r="I403" s="1473">
        <v>0</v>
      </c>
      <c r="J403" s="1631" t="s">
        <v>2027</v>
      </c>
    </row>
    <row r="404" spans="1:10" ht="25.5">
      <c r="A404" s="1627">
        <v>286918</v>
      </c>
      <c r="B404" s="1628">
        <v>210.17500000000001</v>
      </c>
      <c r="C404" s="1632" t="s">
        <v>1698</v>
      </c>
      <c r="D404" s="1479"/>
      <c r="E404" s="1473">
        <v>-932176</v>
      </c>
      <c r="F404" s="1473">
        <f t="shared" si="20"/>
        <v>-932176</v>
      </c>
      <c r="G404" s="1473">
        <v>0</v>
      </c>
      <c r="H404" s="1473">
        <v>0</v>
      </c>
      <c r="I404" s="1473">
        <v>0</v>
      </c>
      <c r="J404" s="1631" t="s">
        <v>1699</v>
      </c>
    </row>
    <row r="405" spans="1:10" ht="25.5">
      <c r="A405" s="1627">
        <v>286919</v>
      </c>
      <c r="B405" s="1628">
        <v>210.17</v>
      </c>
      <c r="C405" s="1632" t="s">
        <v>1853</v>
      </c>
      <c r="D405" s="1479"/>
      <c r="E405" s="1473">
        <v>-61711</v>
      </c>
      <c r="F405" s="1473">
        <f t="shared" si="20"/>
        <v>-61711</v>
      </c>
      <c r="G405" s="1473">
        <v>0</v>
      </c>
      <c r="H405" s="1473">
        <v>0</v>
      </c>
      <c r="I405" s="1473">
        <v>0</v>
      </c>
      <c r="J405" s="1631" t="s">
        <v>1854</v>
      </c>
    </row>
    <row r="406" spans="1:10" ht="38.25">
      <c r="A406" s="1627">
        <v>287564</v>
      </c>
      <c r="B406" s="1628">
        <v>425.13</v>
      </c>
      <c r="C406" s="1632" t="s">
        <v>439</v>
      </c>
      <c r="D406" s="1479"/>
      <c r="E406" s="1473">
        <v>-156277</v>
      </c>
      <c r="F406" s="1473">
        <f t="shared" si="20"/>
        <v>-156277</v>
      </c>
      <c r="G406" s="1473">
        <v>0</v>
      </c>
      <c r="H406" s="1473">
        <v>0</v>
      </c>
      <c r="I406" s="1473">
        <v>0</v>
      </c>
      <c r="J406" s="1631" t="s">
        <v>440</v>
      </c>
    </row>
    <row r="407" spans="1:10" ht="12.75">
      <c r="A407" s="1627">
        <v>287569</v>
      </c>
      <c r="B407" s="1628">
        <v>720.80499999999995</v>
      </c>
      <c r="C407" s="1632" t="s">
        <v>1851</v>
      </c>
      <c r="D407" s="1479"/>
      <c r="E407" s="1473">
        <v>-20231279</v>
      </c>
      <c r="F407" s="1473">
        <f t="shared" si="20"/>
        <v>-20231279</v>
      </c>
      <c r="G407" s="1473">
        <v>0</v>
      </c>
      <c r="H407" s="1473">
        <v>0</v>
      </c>
      <c r="I407" s="1473">
        <v>0</v>
      </c>
      <c r="J407" s="1631" t="s">
        <v>1852</v>
      </c>
    </row>
    <row r="408" spans="1:10" ht="38.25">
      <c r="A408" s="1627">
        <v>287661</v>
      </c>
      <c r="B408" s="1628">
        <v>425.36</v>
      </c>
      <c r="C408" s="1632" t="s">
        <v>637</v>
      </c>
      <c r="D408" s="1479"/>
      <c r="E408" s="1473">
        <v>-488974</v>
      </c>
      <c r="F408" s="1473">
        <f t="shared" si="20"/>
        <v>-488974</v>
      </c>
      <c r="G408" s="1473">
        <v>0</v>
      </c>
      <c r="H408" s="1473">
        <v>0</v>
      </c>
      <c r="I408" s="1473">
        <v>0</v>
      </c>
      <c r="J408" s="1631" t="s">
        <v>638</v>
      </c>
    </row>
    <row r="409" spans="1:10" ht="25.5">
      <c r="A409" s="1627">
        <v>287662</v>
      </c>
      <c r="B409" s="1628">
        <v>210.1</v>
      </c>
      <c r="C409" s="1632" t="s">
        <v>642</v>
      </c>
      <c r="D409" s="1479"/>
      <c r="E409" s="1473">
        <v>-452856</v>
      </c>
      <c r="F409" s="1473">
        <f t="shared" si="20"/>
        <v>-452856</v>
      </c>
      <c r="G409" s="1473">
        <v>0</v>
      </c>
      <c r="H409" s="1473">
        <v>0</v>
      </c>
      <c r="I409" s="1473">
        <v>0</v>
      </c>
      <c r="J409" s="1631" t="s">
        <v>2028</v>
      </c>
    </row>
    <row r="410" spans="1:10" ht="25.5">
      <c r="A410" s="1627">
        <v>287664</v>
      </c>
      <c r="B410" s="1628">
        <v>210.12</v>
      </c>
      <c r="C410" s="1632" t="s">
        <v>645</v>
      </c>
      <c r="D410" s="1479"/>
      <c r="E410" s="1473">
        <v>-808571</v>
      </c>
      <c r="F410" s="1473">
        <f t="shared" si="20"/>
        <v>-808571</v>
      </c>
      <c r="G410" s="1473">
        <v>0</v>
      </c>
      <c r="H410" s="1473">
        <v>0</v>
      </c>
      <c r="I410" s="1473">
        <v>0</v>
      </c>
      <c r="J410" s="1631" t="s">
        <v>646</v>
      </c>
    </row>
    <row r="411" spans="1:10" ht="25.5">
      <c r="A411" s="1627">
        <v>287665</v>
      </c>
      <c r="B411" s="1628">
        <v>210.13</v>
      </c>
      <c r="C411" s="1632" t="s">
        <v>641</v>
      </c>
      <c r="D411" s="1479"/>
      <c r="E411" s="1473">
        <v>-80648</v>
      </c>
      <c r="F411" s="1473">
        <f t="shared" si="20"/>
        <v>-80648</v>
      </c>
      <c r="G411" s="1473">
        <v>0</v>
      </c>
      <c r="H411" s="1473">
        <v>0</v>
      </c>
      <c r="I411" s="1473">
        <v>0</v>
      </c>
      <c r="J411" s="1631" t="s">
        <v>2029</v>
      </c>
    </row>
    <row r="412" spans="1:10" ht="25.5">
      <c r="A412" s="1627">
        <v>287669</v>
      </c>
      <c r="B412" s="1628">
        <v>210.18</v>
      </c>
      <c r="C412" s="1632" t="s">
        <v>639</v>
      </c>
      <c r="D412" s="1479"/>
      <c r="E412" s="1473">
        <v>-672002</v>
      </c>
      <c r="F412" s="1473">
        <f t="shared" si="20"/>
        <v>-672002</v>
      </c>
      <c r="G412" s="1473">
        <v>0</v>
      </c>
      <c r="H412" s="1473">
        <v>0</v>
      </c>
      <c r="I412" s="1473">
        <v>0</v>
      </c>
      <c r="J412" s="1631" t="s">
        <v>640</v>
      </c>
    </row>
    <row r="413" spans="1:10" ht="12.75">
      <c r="A413" s="1627">
        <v>287708</v>
      </c>
      <c r="B413" s="1628">
        <v>210.2</v>
      </c>
      <c r="C413" s="1632" t="s">
        <v>643</v>
      </c>
      <c r="D413" s="1479"/>
      <c r="E413" s="1473">
        <v>-6903950</v>
      </c>
      <c r="F413" s="1473">
        <v>0</v>
      </c>
      <c r="G413" s="1473">
        <v>0</v>
      </c>
      <c r="H413" s="1473">
        <f>E413</f>
        <v>-6903950</v>
      </c>
      <c r="I413" s="1473">
        <v>0</v>
      </c>
      <c r="J413" s="1631" t="s">
        <v>644</v>
      </c>
    </row>
    <row r="414" spans="1:10" ht="27" customHeight="1">
      <c r="A414" s="1627">
        <v>287770</v>
      </c>
      <c r="B414" s="1628">
        <v>120.205</v>
      </c>
      <c r="C414" s="1632" t="s">
        <v>648</v>
      </c>
      <c r="D414" s="1479"/>
      <c r="E414" s="1473">
        <v>-783427</v>
      </c>
      <c r="F414" s="1473">
        <f>E414</f>
        <v>-783427</v>
      </c>
      <c r="G414" s="1473">
        <v>0</v>
      </c>
      <c r="H414" s="1473">
        <v>0</v>
      </c>
      <c r="I414" s="1473">
        <v>0</v>
      </c>
      <c r="J414" s="1631" t="s">
        <v>649</v>
      </c>
    </row>
    <row r="415" spans="1:10" ht="50.25" customHeight="1">
      <c r="A415" s="1627">
        <v>287859</v>
      </c>
      <c r="B415" s="1628">
        <v>910.93499999999995</v>
      </c>
      <c r="C415" s="1632" t="s">
        <v>668</v>
      </c>
      <c r="D415" s="1479"/>
      <c r="E415" s="1473">
        <v>-626034</v>
      </c>
      <c r="F415" s="1473">
        <v>0</v>
      </c>
      <c r="G415" s="1473">
        <v>0</v>
      </c>
      <c r="H415" s="1473">
        <v>0</v>
      </c>
      <c r="I415" s="1473">
        <f>E415</f>
        <v>-626034</v>
      </c>
      <c r="J415" s="1631" t="s">
        <v>669</v>
      </c>
    </row>
    <row r="416" spans="1:10" ht="12.75">
      <c r="A416" s="1627">
        <v>287907</v>
      </c>
      <c r="B416" s="1628">
        <v>210.185</v>
      </c>
      <c r="C416" s="1632" t="s">
        <v>666</v>
      </c>
      <c r="D416" s="1479"/>
      <c r="E416" s="1473">
        <v>-14471</v>
      </c>
      <c r="F416" s="1473">
        <f>E416</f>
        <v>-14471</v>
      </c>
      <c r="G416" s="1473">
        <v>0</v>
      </c>
      <c r="H416" s="1473">
        <v>0</v>
      </c>
      <c r="I416" s="1473">
        <v>0</v>
      </c>
      <c r="J416" s="1631" t="s">
        <v>2030</v>
      </c>
    </row>
    <row r="417" spans="1:10" ht="12.75">
      <c r="A417" s="1627">
        <v>287908</v>
      </c>
      <c r="B417" s="1628">
        <v>210.19</v>
      </c>
      <c r="C417" s="1632" t="s">
        <v>647</v>
      </c>
      <c r="D417" s="1479"/>
      <c r="E417" s="1473">
        <v>-137093</v>
      </c>
      <c r="F417" s="1473">
        <f>E417</f>
        <v>-137093</v>
      </c>
      <c r="G417" s="1473">
        <v>0</v>
      </c>
      <c r="H417" s="1473">
        <v>0</v>
      </c>
      <c r="I417" s="1473">
        <v>0</v>
      </c>
      <c r="J417" s="1631" t="s">
        <v>2031</v>
      </c>
    </row>
    <row r="418" spans="1:10" ht="12.75">
      <c r="A418" s="1627">
        <v>287915</v>
      </c>
      <c r="B418" s="1628">
        <v>910.93700000000001</v>
      </c>
      <c r="C418" s="1632" t="s">
        <v>432</v>
      </c>
      <c r="D418" s="1479"/>
      <c r="E418" s="1473">
        <v>-680720</v>
      </c>
      <c r="F418" s="1473">
        <v>0</v>
      </c>
      <c r="G418" s="1473">
        <v>0</v>
      </c>
      <c r="H418" s="1473">
        <v>0</v>
      </c>
      <c r="I418" s="1473">
        <f>E418</f>
        <v>-680720</v>
      </c>
      <c r="J418" s="1631" t="s">
        <v>433</v>
      </c>
    </row>
    <row r="419" spans="1:10" ht="12.75">
      <c r="A419" s="1932" t="s">
        <v>470</v>
      </c>
      <c r="B419" s="1933"/>
      <c r="C419" s="1933"/>
      <c r="D419" s="1701"/>
      <c r="E419" s="1677">
        <v>4</v>
      </c>
      <c r="F419" s="1677">
        <f>E419</f>
        <v>4</v>
      </c>
      <c r="G419" s="1677">
        <v>0</v>
      </c>
      <c r="H419" s="1677">
        <v>0</v>
      </c>
      <c r="I419" s="1677">
        <v>0</v>
      </c>
      <c r="J419" s="1702"/>
    </row>
    <row r="420" spans="1:10" ht="12.75">
      <c r="A420" s="1641" t="s">
        <v>650</v>
      </c>
      <c r="B420" s="1642"/>
      <c r="C420" s="1637"/>
      <c r="D420" s="1643"/>
      <c r="E420" s="1682">
        <f>SUBTOTAL(9,E294:E419)</f>
        <v>-765740745</v>
      </c>
      <c r="F420" s="1682">
        <f>SUBTOTAL(9,F294:F419)</f>
        <v>-760924405</v>
      </c>
      <c r="G420" s="1682">
        <f>SUBTOTAL(9,G294:G419)</f>
        <v>0</v>
      </c>
      <c r="H420" s="1682">
        <f>SUBTOTAL(9,H294:H419)</f>
        <v>-6903950</v>
      </c>
      <c r="I420" s="1682">
        <f>SUBTOTAL(9,I294:I419)</f>
        <v>2087610</v>
      </c>
      <c r="J420" s="1647"/>
    </row>
    <row r="421" spans="1:10" ht="12.75">
      <c r="A421" s="1641" t="s">
        <v>472</v>
      </c>
      <c r="B421" s="1642"/>
      <c r="C421" s="1637"/>
      <c r="D421" s="1643"/>
      <c r="E421" s="1480">
        <f>E386</f>
        <v>-105312</v>
      </c>
      <c r="F421" s="1480">
        <f t="shared" ref="F421:I421" si="21">F386</f>
        <v>-105312</v>
      </c>
      <c r="G421" s="1480">
        <f t="shared" si="21"/>
        <v>0</v>
      </c>
      <c r="H421" s="1480">
        <f t="shared" si="21"/>
        <v>0</v>
      </c>
      <c r="I421" s="1480">
        <f t="shared" si="21"/>
        <v>0</v>
      </c>
      <c r="J421" s="1647"/>
    </row>
    <row r="422" spans="1:10" ht="12.75">
      <c r="A422" s="1641" t="s">
        <v>473</v>
      </c>
      <c r="B422" s="1642"/>
      <c r="C422" s="1637"/>
      <c r="D422" s="1643"/>
      <c r="E422" s="1480">
        <v>0</v>
      </c>
      <c r="F422" s="1480">
        <v>0</v>
      </c>
      <c r="G422" s="1480">
        <v>0</v>
      </c>
      <c r="H422" s="1480">
        <v>0</v>
      </c>
      <c r="I422" s="1480">
        <v>0</v>
      </c>
      <c r="J422" s="1647"/>
    </row>
    <row r="423" spans="1:10" ht="12.75">
      <c r="A423" s="1703" t="s">
        <v>111</v>
      </c>
      <c r="B423" s="338"/>
      <c r="C423" s="339"/>
      <c r="D423" s="1646"/>
      <c r="E423" s="1481">
        <f>SUM(E420-E421-E422)</f>
        <v>-765635433</v>
      </c>
      <c r="F423" s="1481">
        <f>SUM(F420-F421-F422)</f>
        <v>-760819093</v>
      </c>
      <c r="G423" s="1481">
        <f>SUM(G420-G421-G422)</f>
        <v>0</v>
      </c>
      <c r="H423" s="1481">
        <f>SUM(H420-H421-H422)</f>
        <v>-6903950</v>
      </c>
      <c r="I423" s="1481">
        <f>SUM(I420-I421-I422)</f>
        <v>2087610</v>
      </c>
      <c r="J423" s="1647"/>
    </row>
    <row r="424" spans="1:10" ht="12.75">
      <c r="A424" s="320"/>
      <c r="B424" s="320"/>
      <c r="C424" s="332"/>
      <c r="D424" s="321"/>
      <c r="E424" s="321"/>
      <c r="F424" s="321"/>
      <c r="G424" s="321"/>
      <c r="H424" s="321"/>
      <c r="I424" s="1466"/>
      <c r="J424" s="330"/>
    </row>
    <row r="425" spans="1:10" ht="12.75">
      <c r="A425" s="320"/>
      <c r="B425" s="320"/>
      <c r="C425" s="1655" t="s">
        <v>651</v>
      </c>
      <c r="D425" s="1297"/>
      <c r="E425" s="1297"/>
      <c r="F425" s="1297"/>
      <c r="G425" s="1684"/>
      <c r="H425" s="1685"/>
      <c r="I425" s="1466"/>
      <c r="J425" s="330"/>
    </row>
    <row r="426" spans="1:10" ht="25.5">
      <c r="A426" s="320"/>
      <c r="B426" s="320"/>
      <c r="C426" s="1704" t="s">
        <v>475</v>
      </c>
      <c r="D426" s="484"/>
      <c r="E426" s="1466"/>
      <c r="F426" s="1466"/>
      <c r="G426" s="1466"/>
      <c r="H426" s="1705"/>
      <c r="I426" s="1466"/>
      <c r="J426" s="330"/>
    </row>
    <row r="427" spans="1:10" ht="33" customHeight="1">
      <c r="A427" s="320"/>
      <c r="B427" s="320"/>
      <c r="C427" s="1660" t="s">
        <v>476</v>
      </c>
      <c r="G427" s="343"/>
      <c r="H427" s="1686"/>
      <c r="I427" s="1466"/>
      <c r="J427" s="330"/>
    </row>
    <row r="428" spans="1:10" s="1664" customFormat="1" ht="12.75">
      <c r="A428" s="320"/>
      <c r="B428" s="320"/>
      <c r="C428" s="1660" t="s">
        <v>477</v>
      </c>
      <c r="D428" s="305"/>
      <c r="E428" s="305"/>
      <c r="F428" s="305"/>
      <c r="G428" s="343"/>
      <c r="H428" s="1686"/>
      <c r="I428" s="1466"/>
      <c r="J428" s="330"/>
    </row>
    <row r="429" spans="1:10" s="330" customFormat="1" ht="12.75">
      <c r="A429" s="320"/>
      <c r="B429" s="320"/>
      <c r="C429" s="1660" t="s">
        <v>478</v>
      </c>
      <c r="D429" s="305"/>
      <c r="E429" s="305"/>
      <c r="F429" s="305"/>
      <c r="G429" s="305"/>
      <c r="H429" s="1650"/>
      <c r="I429" s="1706"/>
    </row>
    <row r="430" spans="1:10" s="330" customFormat="1" ht="28.5" customHeight="1">
      <c r="A430" s="320"/>
      <c r="B430" s="320"/>
      <c r="C430" s="1925" t="s">
        <v>479</v>
      </c>
      <c r="D430" s="1926"/>
      <c r="E430" s="1926"/>
      <c r="F430" s="1926"/>
      <c r="G430" s="1926"/>
      <c r="H430" s="1927"/>
      <c r="I430" s="1466"/>
    </row>
  </sheetData>
  <mergeCells count="7">
    <mergeCell ref="A419:C419"/>
    <mergeCell ref="C430:H430"/>
    <mergeCell ref="K14:K16"/>
    <mergeCell ref="C176:H176"/>
    <mergeCell ref="C198:H198"/>
    <mergeCell ref="C202:H202"/>
    <mergeCell ref="C282:H282"/>
  </mergeCells>
  <pageMargins left="0.7" right="0.7" top="0.75" bottom="0.75" header="0.3" footer="0.3"/>
  <pageSetup scale="44"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21"/>
  <sheetViews>
    <sheetView workbookViewId="0">
      <selection activeCell="F7" sqref="F7"/>
    </sheetView>
  </sheetViews>
  <sheetFormatPr defaultColWidth="9.140625" defaultRowHeight="12.75"/>
  <cols>
    <col min="1" max="1" width="5.7109375" style="1514" customWidth="1"/>
    <col min="2" max="2" width="20.7109375" style="1514" customWidth="1"/>
    <col min="3" max="3" width="2.7109375" style="1514" customWidth="1"/>
    <col min="4" max="4" width="20.7109375" style="1514" customWidth="1"/>
    <col min="5" max="5" width="2.7109375" style="1514" customWidth="1"/>
    <col min="6" max="6" width="20.7109375" style="1514" customWidth="1"/>
    <col min="7" max="7" width="5.7109375" style="1514" customWidth="1"/>
    <col min="8" max="16384" width="9.140625" style="1514"/>
  </cols>
  <sheetData>
    <row r="1" spans="1:7" ht="15">
      <c r="A1" s="1935" t="s">
        <v>2</v>
      </c>
      <c r="B1" s="1936"/>
      <c r="C1" s="1936"/>
      <c r="D1" s="1936"/>
      <c r="E1" s="1936"/>
      <c r="F1" s="1936"/>
      <c r="G1" s="1936"/>
    </row>
    <row r="2" spans="1:7" ht="15">
      <c r="A2" s="1937" t="s">
        <v>1789</v>
      </c>
      <c r="B2" s="1938"/>
      <c r="C2" s="1938"/>
      <c r="D2" s="1938"/>
      <c r="E2" s="1938"/>
      <c r="F2" s="1938"/>
      <c r="G2" s="1938"/>
    </row>
    <row r="4" spans="1:7">
      <c r="B4" s="1515" t="s">
        <v>1781</v>
      </c>
      <c r="C4" s="1515"/>
      <c r="D4" s="1515"/>
      <c r="E4" s="1515"/>
      <c r="F4" s="1515"/>
    </row>
    <row r="5" spans="1:7">
      <c r="D5" s="1516" t="s">
        <v>82</v>
      </c>
      <c r="E5" s="1519"/>
      <c r="F5" s="1518" t="s">
        <v>1782</v>
      </c>
    </row>
    <row r="6" spans="1:7">
      <c r="B6" s="1517" t="s">
        <v>787</v>
      </c>
      <c r="D6" s="1517" t="s">
        <v>1780</v>
      </c>
      <c r="E6" s="1519"/>
      <c r="F6" s="1517" t="s">
        <v>1783</v>
      </c>
    </row>
    <row r="7" spans="1:7">
      <c r="B7" s="1522" t="s">
        <v>1787</v>
      </c>
      <c r="D7" s="1525">
        <f>IF(Toggle=Projection,VLOOKUP("12/31/"&amp;data_year,'Att 1B - 2017 TCJA'!$D$36:$AH$87,29,FALSE),IF(Toggle=True_up,VLOOKUP("12/31/"&amp;data_year,'Att 1B - 2017 TCJA'!$D$36:$AH$87,31,FALSE),"Set Toggle!"))</f>
        <v>-300388795</v>
      </c>
      <c r="F7" s="1525">
        <f>IF(Toggle=Projection,VLOOKUP("12/31/"&amp;data_year+1,'Att 1B - 2017 TCJA'!$D$36:$AH$87,27,FALSE),VLOOKUP("12/31/"&amp;data_year,'Att 1B - 2017 TCJA'!$D$36:$AH$87,27,FALSE))</f>
        <v>-6863846</v>
      </c>
    </row>
    <row r="8" spans="1:7">
      <c r="B8" s="1523"/>
      <c r="D8" s="1523"/>
      <c r="F8" s="1523"/>
    </row>
    <row r="9" spans="1:7">
      <c r="B9" s="1523"/>
      <c r="D9" s="1523"/>
      <c r="F9" s="1523"/>
    </row>
    <row r="10" spans="1:7">
      <c r="B10" s="1523"/>
      <c r="D10" s="1523"/>
      <c r="F10" s="1523"/>
    </row>
    <row r="11" spans="1:7">
      <c r="B11" s="1523"/>
      <c r="D11" s="1523"/>
      <c r="F11" s="1523"/>
    </row>
    <row r="12" spans="1:7">
      <c r="B12" s="1523"/>
      <c r="D12" s="1523"/>
      <c r="F12" s="1523"/>
    </row>
    <row r="13" spans="1:7">
      <c r="B13" s="1523"/>
      <c r="D13" s="1523"/>
      <c r="F13" s="1523"/>
    </row>
    <row r="14" spans="1:7">
      <c r="B14" s="1523"/>
      <c r="D14" s="1523"/>
      <c r="F14" s="1523"/>
    </row>
    <row r="15" spans="1:7">
      <c r="B15" s="1523"/>
      <c r="D15" s="1523"/>
      <c r="F15" s="1523"/>
    </row>
    <row r="16" spans="1:7">
      <c r="B16" s="1523"/>
      <c r="D16" s="1523"/>
      <c r="F16" s="1523"/>
    </row>
    <row r="17" spans="2:6">
      <c r="B17" s="1523"/>
      <c r="D17" s="1523"/>
      <c r="F17" s="1523"/>
    </row>
    <row r="18" spans="2:6">
      <c r="B18" s="1523"/>
      <c r="D18" s="1523"/>
      <c r="F18" s="1523"/>
    </row>
    <row r="19" spans="2:6">
      <c r="B19" s="1524"/>
      <c r="D19" s="1526"/>
      <c r="F19" s="1526"/>
    </row>
    <row r="20" spans="2:6">
      <c r="B20" s="1520" t="s">
        <v>1791</v>
      </c>
      <c r="D20" s="1527">
        <f>SUBTOTAL(9,D7:D19)</f>
        <v>-300388795</v>
      </c>
      <c r="F20" s="1527">
        <f>SUBTOTAL(9,F7:F19)</f>
        <v>-6863846</v>
      </c>
    </row>
    <row r="21" spans="2:6">
      <c r="D21" s="1560" t="s">
        <v>1784</v>
      </c>
      <c r="E21" s="1561"/>
      <c r="F21" s="1560" t="s">
        <v>1785</v>
      </c>
    </row>
  </sheetData>
  <mergeCells count="2">
    <mergeCell ref="A1:G1"/>
    <mergeCell ref="A2:G2"/>
  </mergeCells>
  <pageMargins left="0.7" right="0.7" top="0.75" bottom="0.75" header="0.3" footer="0.3"/>
  <pageSetup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T95"/>
  <sheetViews>
    <sheetView topLeftCell="J11" zoomScaleNormal="100" workbookViewId="0">
      <selection activeCell="Z51" sqref="Z51"/>
    </sheetView>
  </sheetViews>
  <sheetFormatPr defaultColWidth="9.140625" defaultRowHeight="12.75"/>
  <cols>
    <col min="1" max="1" width="5.85546875" style="1514" customWidth="1"/>
    <col min="2" max="2" width="4.85546875" style="1514" customWidth="1"/>
    <col min="3" max="3" width="2.85546875" style="1514" customWidth="1"/>
    <col min="4" max="4" width="12.85546875" style="1514" customWidth="1"/>
    <col min="5" max="5" width="4.85546875" style="1514" customWidth="1"/>
    <col min="6" max="6" width="10.85546875" style="1514" customWidth="1"/>
    <col min="7" max="7" width="2.85546875" style="1514" customWidth="1"/>
    <col min="8" max="8" width="15.85546875" style="1514" customWidth="1"/>
    <col min="9" max="9" width="2.85546875" style="1514" customWidth="1"/>
    <col min="10" max="10" width="15.85546875" style="1514" customWidth="1"/>
    <col min="11" max="11" width="4.85546875" style="1514" customWidth="1"/>
    <col min="12" max="12" width="10.85546875" style="1514" customWidth="1"/>
    <col min="13" max="13" width="2.85546875" style="1514" customWidth="1"/>
    <col min="14" max="14" width="15.85546875" style="1514" customWidth="1"/>
    <col min="15" max="15" width="2.85546875" style="1514" customWidth="1"/>
    <col min="16" max="16" width="15.85546875" style="1514" customWidth="1"/>
    <col min="17" max="17" width="4.85546875" style="1514" customWidth="1"/>
    <col min="18" max="18" width="10.85546875" style="1514" customWidth="1"/>
    <col min="19" max="19" width="2.85546875" style="1514" customWidth="1"/>
    <col min="20" max="20" width="15.85546875" style="1514" customWidth="1"/>
    <col min="21" max="21" width="2.85546875" style="1514" customWidth="1"/>
    <col min="22" max="22" width="15.85546875" style="1514" customWidth="1"/>
    <col min="23" max="23" width="4.85546875" style="1514" customWidth="1"/>
    <col min="24" max="24" width="10.85546875" style="1514" customWidth="1"/>
    <col min="25" max="25" width="2.85546875" style="1514" customWidth="1"/>
    <col min="26" max="26" width="20.42578125" style="1514" bestFit="1" customWidth="1"/>
    <col min="27" max="27" width="2.85546875" style="1514" customWidth="1"/>
    <col min="28" max="28" width="20.42578125" style="1514" bestFit="1" customWidth="1"/>
    <col min="29" max="29" width="4.85546875" style="1514" customWidth="1"/>
    <col min="30" max="30" width="19.7109375" style="1514" bestFit="1" customWidth="1"/>
    <col min="31" max="31" width="2.85546875" style="1514" customWidth="1"/>
    <col min="32" max="32" width="19.42578125" style="1514" bestFit="1" customWidth="1"/>
    <col min="33" max="33" width="2.85546875" style="1514" customWidth="1"/>
    <col min="34" max="34" width="18.28515625" style="1514" bestFit="1" customWidth="1"/>
    <col min="35" max="35" width="5.85546875" style="1514" customWidth="1"/>
    <col min="36" max="36" width="10.85546875" style="1514" customWidth="1"/>
    <col min="37" max="37" width="2.85546875" style="1514" customWidth="1"/>
    <col min="38" max="38" width="10.85546875" style="1514" customWidth="1"/>
    <col min="39" max="39" width="2.85546875" style="1514" customWidth="1"/>
    <col min="40" max="40" width="15.85546875" style="1514" customWidth="1"/>
    <col min="41" max="41" width="2.85546875" style="1514" customWidth="1"/>
    <col min="42" max="42" width="15.85546875" style="1514" customWidth="1"/>
    <col min="43" max="43" width="2.85546875" style="1514" customWidth="1"/>
    <col min="44" max="44" width="15.85546875" style="1514" customWidth="1"/>
    <col min="45" max="45" width="2.85546875" style="1514" customWidth="1"/>
    <col min="46" max="46" width="24" style="1514" customWidth="1"/>
    <col min="47" max="47" width="5.85546875" style="1514" customWidth="1"/>
    <col min="48" max="16384" width="9.140625" style="1514"/>
  </cols>
  <sheetData>
    <row r="1" spans="1:35" ht="15">
      <c r="A1" s="1557"/>
      <c r="B1" s="1729" t="s">
        <v>2</v>
      </c>
      <c r="C1" s="1730"/>
      <c r="D1" s="1730"/>
      <c r="E1" s="1730"/>
      <c r="F1" s="1730"/>
      <c r="G1" s="1730"/>
      <c r="H1" s="1730"/>
      <c r="I1" s="1730"/>
      <c r="J1" s="1730"/>
      <c r="K1" s="1730"/>
      <c r="L1" s="1730"/>
      <c r="M1" s="1730"/>
      <c r="N1" s="1730"/>
      <c r="O1" s="1730"/>
      <c r="P1" s="1730"/>
      <c r="Q1" s="1730"/>
      <c r="R1" s="1730"/>
      <c r="S1" s="1730"/>
      <c r="T1" s="1730"/>
      <c r="U1" s="1730"/>
      <c r="V1" s="1730"/>
      <c r="W1" s="1730"/>
      <c r="X1" s="1730"/>
      <c r="Y1" s="1730"/>
      <c r="Z1" s="1730"/>
      <c r="AA1" s="1730"/>
      <c r="AB1" s="1730"/>
      <c r="AC1" s="1730"/>
      <c r="AD1" s="1730"/>
      <c r="AE1" s="1730"/>
      <c r="AF1" s="1730"/>
      <c r="AG1" s="1730"/>
      <c r="AH1" s="1730"/>
      <c r="AI1" s="1544"/>
    </row>
    <row r="2" spans="1:35" ht="15">
      <c r="A2" s="1557"/>
      <c r="B2" s="1729" t="s">
        <v>1790</v>
      </c>
      <c r="C2" s="1729"/>
      <c r="D2" s="1729"/>
      <c r="E2" s="1729"/>
      <c r="F2" s="1729"/>
      <c r="G2" s="1729"/>
      <c r="H2" s="1729"/>
      <c r="I2" s="1729"/>
      <c r="J2" s="1729"/>
      <c r="K2" s="1729"/>
      <c r="L2" s="1729"/>
      <c r="M2" s="1729"/>
      <c r="N2" s="1729"/>
      <c r="O2" s="1729"/>
      <c r="P2" s="1729"/>
      <c r="Q2" s="1729"/>
      <c r="R2" s="1729"/>
      <c r="S2" s="1729"/>
      <c r="T2" s="1729"/>
      <c r="U2" s="1729"/>
      <c r="V2" s="1729"/>
      <c r="W2" s="1729"/>
      <c r="X2" s="1729"/>
      <c r="Y2" s="1729"/>
      <c r="Z2" s="1729"/>
      <c r="AA2" s="1729"/>
      <c r="AB2" s="1729"/>
      <c r="AC2" s="1729"/>
      <c r="AD2" s="1729"/>
      <c r="AE2" s="1729"/>
      <c r="AF2" s="1729"/>
      <c r="AG2" s="1729"/>
      <c r="AH2" s="1729"/>
      <c r="AI2" s="1544"/>
    </row>
    <row r="3" spans="1:35">
      <c r="A3" s="1557"/>
      <c r="B3" s="1557"/>
      <c r="C3" s="1557"/>
      <c r="D3" s="1557"/>
      <c r="E3" s="1557"/>
      <c r="F3" s="1557"/>
      <c r="G3" s="1557"/>
      <c r="H3" s="1557"/>
      <c r="I3" s="1557"/>
      <c r="J3" s="1557"/>
      <c r="K3" s="1557"/>
      <c r="L3" s="1557"/>
      <c r="M3" s="1557"/>
      <c r="N3" s="1557"/>
      <c r="O3" s="1557"/>
      <c r="P3" s="1557"/>
      <c r="Q3" s="1557"/>
      <c r="R3" s="1557"/>
      <c r="S3" s="1557"/>
      <c r="T3" s="1557"/>
      <c r="U3" s="1557"/>
      <c r="V3" s="1557"/>
      <c r="W3" s="1557"/>
      <c r="X3" s="1557"/>
      <c r="Y3" s="1557"/>
      <c r="Z3" s="1557"/>
      <c r="AA3" s="1557"/>
      <c r="AB3" s="1557"/>
      <c r="AC3" s="1557"/>
      <c r="AD3" s="1557"/>
      <c r="AE3" s="1557"/>
      <c r="AF3" s="1557"/>
      <c r="AG3" s="1557"/>
      <c r="AH3" s="1557"/>
      <c r="AI3" s="1544"/>
    </row>
    <row r="4" spans="1:35">
      <c r="A4" s="1557"/>
      <c r="B4" s="1557"/>
      <c r="C4" s="1557"/>
      <c r="D4" s="1557"/>
      <c r="E4" s="1557"/>
      <c r="F4" s="1557"/>
      <c r="G4" s="1557"/>
      <c r="H4" s="1557"/>
      <c r="I4" s="1557"/>
      <c r="J4" s="1557"/>
      <c r="K4" s="1557"/>
      <c r="L4" s="1557"/>
      <c r="M4" s="1557"/>
      <c r="N4" s="1557"/>
      <c r="O4" s="1557"/>
      <c r="P4" s="1557"/>
      <c r="Q4" s="1557"/>
      <c r="R4" s="1557"/>
      <c r="S4" s="1557"/>
      <c r="T4" s="1557"/>
      <c r="U4" s="1557"/>
      <c r="V4" s="1557"/>
      <c r="W4" s="1557"/>
      <c r="X4" s="1557"/>
      <c r="Y4" s="1557"/>
      <c r="Z4" s="1557"/>
      <c r="AA4" s="1557"/>
      <c r="AB4" s="1557"/>
      <c r="AC4" s="1557"/>
      <c r="AD4" s="1557"/>
      <c r="AE4" s="1557"/>
      <c r="AF4" s="1557"/>
      <c r="AG4" s="1557"/>
      <c r="AH4" s="1557"/>
      <c r="AI4" s="1544"/>
    </row>
    <row r="5" spans="1:35">
      <c r="A5" s="1557"/>
      <c r="B5" s="1816" t="s">
        <v>2037</v>
      </c>
      <c r="C5" s="1515"/>
      <c r="D5" s="1515"/>
      <c r="E5" s="1515"/>
      <c r="F5" s="1515"/>
      <c r="G5" s="1515"/>
      <c r="H5" s="1515"/>
      <c r="I5" s="1515"/>
      <c r="J5" s="1515"/>
      <c r="K5" s="1515"/>
      <c r="L5" s="1515"/>
      <c r="M5" s="1515"/>
      <c r="N5" s="1731"/>
      <c r="O5" s="1731"/>
      <c r="P5" s="1515"/>
      <c r="Q5" s="1515"/>
      <c r="R5" s="1515"/>
      <c r="S5" s="1515"/>
      <c r="T5" s="1731"/>
      <c r="U5" s="1731"/>
      <c r="V5" s="1515"/>
      <c r="W5" s="1515"/>
      <c r="X5" s="1515"/>
      <c r="Y5" s="1515"/>
      <c r="Z5" s="1731"/>
      <c r="AA5" s="1731"/>
      <c r="AB5" s="1515"/>
      <c r="AC5" s="1515"/>
      <c r="AD5" s="1515"/>
      <c r="AE5" s="1515"/>
      <c r="AF5" s="1515"/>
      <c r="AG5" s="1515"/>
      <c r="AH5" s="1515"/>
      <c r="AI5" s="1544"/>
    </row>
    <row r="6" spans="1:35">
      <c r="A6" s="1557"/>
      <c r="B6" s="1518"/>
      <c r="C6" s="1518"/>
      <c r="D6" s="1518"/>
      <c r="E6" s="1518"/>
      <c r="F6" s="1518"/>
      <c r="G6" s="1518"/>
      <c r="H6" s="1518"/>
      <c r="I6" s="1518"/>
      <c r="J6" s="1518"/>
      <c r="K6" s="1518"/>
      <c r="L6" s="1518"/>
      <c r="M6" s="1518"/>
      <c r="N6" s="1732"/>
      <c r="O6" s="1732"/>
      <c r="P6" s="1518"/>
      <c r="Q6" s="1518"/>
      <c r="R6" s="1518"/>
      <c r="S6" s="1518"/>
      <c r="T6" s="1732"/>
      <c r="U6" s="1732"/>
      <c r="V6" s="1518"/>
      <c r="W6" s="1518"/>
      <c r="X6" s="1819"/>
      <c r="Y6" s="1817"/>
      <c r="Z6" s="1818" t="s">
        <v>2041</v>
      </c>
      <c r="AA6" s="1545"/>
      <c r="AB6" s="1545"/>
      <c r="AC6" s="1519"/>
      <c r="AD6" s="1545" t="s">
        <v>2042</v>
      </c>
      <c r="AE6" s="1545"/>
      <c r="AF6" s="1545"/>
      <c r="AG6" s="1545"/>
      <c r="AH6" s="1545"/>
      <c r="AI6" s="1544"/>
    </row>
    <row r="7" spans="1:35">
      <c r="A7" s="1557"/>
      <c r="B7" s="1518"/>
      <c r="C7" s="1518"/>
      <c r="D7" s="1518"/>
      <c r="E7" s="1518"/>
      <c r="F7" s="1518"/>
      <c r="G7" s="1518"/>
      <c r="H7" s="1518"/>
      <c r="I7" s="1518"/>
      <c r="J7" s="1518"/>
      <c r="K7" s="1518"/>
      <c r="L7" s="1518"/>
      <c r="M7" s="1518"/>
      <c r="N7" s="1732"/>
      <c r="O7" s="1732"/>
      <c r="P7" s="1518"/>
      <c r="Q7" s="1518"/>
      <c r="R7" s="1518"/>
      <c r="S7" s="1518"/>
      <c r="T7" s="1732"/>
      <c r="U7" s="1732"/>
      <c r="V7" s="1518"/>
      <c r="W7" s="1518"/>
      <c r="X7" s="1518"/>
      <c r="Y7" s="1518"/>
      <c r="Z7" s="1546" t="s">
        <v>1883</v>
      </c>
      <c r="AB7" s="1546" t="s">
        <v>1884</v>
      </c>
      <c r="AC7" s="1518"/>
      <c r="AD7" s="1518"/>
      <c r="AE7" s="1519"/>
      <c r="AF7" s="1518"/>
      <c r="AG7" s="1518"/>
      <c r="AH7" s="1518"/>
      <c r="AI7" s="1544"/>
    </row>
    <row r="8" spans="1:35">
      <c r="A8" s="1557"/>
      <c r="B8" s="1733" t="s">
        <v>284</v>
      </c>
      <c r="C8" s="1733"/>
      <c r="D8" s="1733"/>
      <c r="E8" s="1733"/>
      <c r="F8" s="1733"/>
      <c r="G8" s="1733"/>
      <c r="H8" s="1733"/>
      <c r="I8" s="1733"/>
      <c r="J8" s="1733"/>
      <c r="K8" s="1734"/>
      <c r="L8" s="1733"/>
      <c r="M8" s="1733"/>
      <c r="N8" s="1734"/>
      <c r="O8" s="1734"/>
      <c r="P8" s="1517"/>
      <c r="Q8" s="1734"/>
      <c r="R8" s="1733"/>
      <c r="S8" s="1733"/>
      <c r="T8" s="1734"/>
      <c r="U8" s="1734"/>
      <c r="V8" s="1517"/>
      <c r="X8" s="1517" t="s">
        <v>1701</v>
      </c>
      <c r="Y8" s="1519"/>
      <c r="Z8" s="1517" t="s">
        <v>1885</v>
      </c>
      <c r="AB8" s="1517" t="s">
        <v>1885</v>
      </c>
      <c r="AD8" s="1517" t="s">
        <v>111</v>
      </c>
      <c r="AF8" s="1517" t="s">
        <v>1702</v>
      </c>
      <c r="AH8" s="1517" t="s">
        <v>1703</v>
      </c>
      <c r="AI8" s="1544"/>
    </row>
    <row r="9" spans="1:35">
      <c r="A9" s="1557"/>
      <c r="B9" s="1735" t="s">
        <v>1704</v>
      </c>
      <c r="C9" s="1735"/>
      <c r="D9" s="1735"/>
      <c r="E9" s="1735"/>
      <c r="F9" s="1735"/>
      <c r="G9" s="1735"/>
      <c r="H9" s="1735"/>
      <c r="I9" s="1735"/>
      <c r="J9" s="1735"/>
      <c r="K9" s="1735"/>
      <c r="L9" s="1735"/>
      <c r="M9" s="1735"/>
      <c r="N9" s="1735"/>
      <c r="O9" s="1735"/>
      <c r="P9" s="1736"/>
      <c r="Q9" s="1735"/>
      <c r="R9" s="1735"/>
      <c r="S9" s="1735"/>
      <c r="T9" s="1735"/>
      <c r="U9" s="1735"/>
      <c r="V9" s="1736"/>
      <c r="W9" s="1557"/>
      <c r="X9" s="1737">
        <v>190</v>
      </c>
      <c r="Y9" s="1557"/>
      <c r="Z9" s="1735">
        <v>258171524</v>
      </c>
      <c r="AB9" s="1735">
        <v>195205324</v>
      </c>
      <c r="AC9" s="1557"/>
      <c r="AD9" s="1735">
        <f>AF9+AH9</f>
        <v>62966200</v>
      </c>
      <c r="AE9" s="1557"/>
      <c r="AF9" s="1735">
        <v>0</v>
      </c>
      <c r="AG9" s="1557"/>
      <c r="AH9" s="1735">
        <v>62966200</v>
      </c>
      <c r="AI9" s="1544"/>
    </row>
    <row r="10" spans="1:35">
      <c r="A10" s="1557"/>
      <c r="B10" s="1738" t="s">
        <v>1705</v>
      </c>
      <c r="C10" s="1738"/>
      <c r="D10" s="1738"/>
      <c r="E10" s="1738"/>
      <c r="F10" s="1738"/>
      <c r="G10" s="1738"/>
      <c r="H10" s="1738"/>
      <c r="I10" s="1738"/>
      <c r="J10" s="1738"/>
      <c r="K10" s="1738"/>
      <c r="L10" s="1738"/>
      <c r="M10" s="1738"/>
      <c r="N10" s="1738"/>
      <c r="O10" s="1738"/>
      <c r="P10" s="1739"/>
      <c r="Q10" s="1738"/>
      <c r="R10" s="1738"/>
      <c r="S10" s="1738"/>
      <c r="T10" s="1738"/>
      <c r="U10" s="1738"/>
      <c r="V10" s="1739"/>
      <c r="W10" s="1557"/>
      <c r="X10" s="1740">
        <v>281</v>
      </c>
      <c r="Y10" s="1557"/>
      <c r="Z10" s="1738">
        <v>-281151789</v>
      </c>
      <c r="AB10" s="1738">
        <v>-182144516</v>
      </c>
      <c r="AC10" s="1557"/>
      <c r="AD10" s="1738">
        <f>AF10+AH10</f>
        <v>-99007273</v>
      </c>
      <c r="AE10" s="1557"/>
      <c r="AF10" s="1738">
        <v>-93962897</v>
      </c>
      <c r="AG10" s="1557"/>
      <c r="AH10" s="1738">
        <v>-5044376</v>
      </c>
      <c r="AI10" s="1544"/>
    </row>
    <row r="11" spans="1:35">
      <c r="A11" s="1557"/>
      <c r="B11" s="1738" t="s">
        <v>1706</v>
      </c>
      <c r="C11" s="1738"/>
      <c r="D11" s="1738"/>
      <c r="E11" s="1738"/>
      <c r="F11" s="1738"/>
      <c r="G11" s="1738"/>
      <c r="H11" s="1738"/>
      <c r="I11" s="1738"/>
      <c r="J11" s="1738"/>
      <c r="K11" s="1738"/>
      <c r="L11" s="1738"/>
      <c r="M11" s="1738"/>
      <c r="N11" s="1738"/>
      <c r="O11" s="1738"/>
      <c r="P11" s="1739"/>
      <c r="Q11" s="1738"/>
      <c r="R11" s="1738"/>
      <c r="S11" s="1738"/>
      <c r="T11" s="1738"/>
      <c r="U11" s="1738"/>
      <c r="V11" s="1739"/>
      <c r="W11" s="1557"/>
      <c r="X11" s="1740">
        <v>282</v>
      </c>
      <c r="Y11" s="1557"/>
      <c r="Z11" s="1738">
        <v>-4513376192</v>
      </c>
      <c r="AB11" s="1738">
        <v>-2924096160</v>
      </c>
      <c r="AC11" s="1557"/>
      <c r="AD11" s="1738">
        <f>AF11+AH11</f>
        <v>-1589280031.70521</v>
      </c>
      <c r="AE11" s="1557"/>
      <c r="AF11" s="1738">
        <v>-1222725846</v>
      </c>
      <c r="AG11" s="1557"/>
      <c r="AH11" s="1738">
        <v>-366554185.70520997</v>
      </c>
      <c r="AI11" s="1544"/>
    </row>
    <row r="12" spans="1:35">
      <c r="A12" s="1557"/>
      <c r="B12" s="1741" t="s">
        <v>1707</v>
      </c>
      <c r="C12" s="1741"/>
      <c r="D12" s="1741"/>
      <c r="E12" s="1741"/>
      <c r="F12" s="1741"/>
      <c r="G12" s="1741"/>
      <c r="H12" s="1741"/>
      <c r="I12" s="1741"/>
      <c r="J12" s="1741"/>
      <c r="K12" s="1741"/>
      <c r="L12" s="1741"/>
      <c r="M12" s="1741"/>
      <c r="N12" s="1741"/>
      <c r="O12" s="1741"/>
      <c r="P12" s="1742"/>
      <c r="Q12" s="1741"/>
      <c r="R12" s="1741"/>
      <c r="S12" s="1741"/>
      <c r="T12" s="1741"/>
      <c r="U12" s="1741"/>
      <c r="V12" s="1742"/>
      <c r="W12" s="1557"/>
      <c r="X12" s="1743">
        <v>283</v>
      </c>
      <c r="Y12" s="1557"/>
      <c r="Z12" s="1741">
        <v>-439572251</v>
      </c>
      <c r="AB12" s="1741">
        <v>-239219460</v>
      </c>
      <c r="AC12" s="1557"/>
      <c r="AD12" s="1741">
        <f>AF12+AH12</f>
        <v>-200352791</v>
      </c>
      <c r="AE12" s="1557"/>
      <c r="AF12" s="1741">
        <v>0</v>
      </c>
      <c r="AG12" s="1557"/>
      <c r="AH12" s="1741">
        <v>-200352791</v>
      </c>
      <c r="AI12" s="1544"/>
    </row>
    <row r="13" spans="1:35">
      <c r="A13" s="1557"/>
      <c r="B13" s="1744" t="s">
        <v>2038</v>
      </c>
      <c r="C13" s="1744"/>
      <c r="D13" s="1744"/>
      <c r="E13" s="1744"/>
      <c r="F13" s="1744"/>
      <c r="G13" s="1744"/>
      <c r="H13" s="1744"/>
      <c r="I13" s="1744"/>
      <c r="J13" s="1744"/>
      <c r="K13" s="1744"/>
      <c r="L13" s="1744"/>
      <c r="M13" s="1744"/>
      <c r="N13" s="1735"/>
      <c r="O13" s="1735"/>
      <c r="P13" s="1745"/>
      <c r="Q13" s="1744"/>
      <c r="R13" s="1744"/>
      <c r="S13" s="1744"/>
      <c r="T13" s="1735"/>
      <c r="U13" s="1735"/>
      <c r="V13" s="1745"/>
      <c r="W13" s="1557"/>
      <c r="X13" s="1746"/>
      <c r="Y13" s="1555"/>
      <c r="Z13" s="1744">
        <f>SUBTOTAL(9,Z9:Z12)</f>
        <v>-4975928708</v>
      </c>
      <c r="AB13" s="1744">
        <f>SUBTOTAL(9,AB9:AB12)</f>
        <v>-3150254812</v>
      </c>
      <c r="AC13" s="1555"/>
      <c r="AD13" s="1744">
        <f>SUBTOTAL(9,AD9:AD12)</f>
        <v>-1825673895.70521</v>
      </c>
      <c r="AE13" s="1555"/>
      <c r="AF13" s="1744">
        <f>SUBTOTAL(9,AF9:AF12)</f>
        <v>-1316688743</v>
      </c>
      <c r="AG13" s="1555"/>
      <c r="AH13" s="1744">
        <f>SUBTOTAL(9,AH9:AH12)</f>
        <v>-508985152.70520997</v>
      </c>
      <c r="AI13" s="1544"/>
    </row>
    <row r="14" spans="1:35">
      <c r="A14" s="1557"/>
      <c r="B14" s="1738" t="s">
        <v>1708</v>
      </c>
      <c r="C14" s="1738"/>
      <c r="D14" s="1738"/>
      <c r="E14" s="1738"/>
      <c r="F14" s="1738"/>
      <c r="G14" s="1738"/>
      <c r="H14" s="1738"/>
      <c r="I14" s="1738"/>
      <c r="J14" s="1738"/>
      <c r="K14" s="1738"/>
      <c r="L14" s="1738"/>
      <c r="M14" s="1738"/>
      <c r="N14" s="1738"/>
      <c r="O14" s="1738"/>
      <c r="P14" s="1747"/>
      <c r="Q14" s="1738"/>
      <c r="R14" s="1738"/>
      <c r="S14" s="1738"/>
      <c r="T14" s="1738"/>
      <c r="U14" s="1738"/>
      <c r="V14" s="1747"/>
      <c r="W14" s="1557"/>
      <c r="X14" s="1748">
        <v>182</v>
      </c>
      <c r="Y14" s="1557"/>
      <c r="Z14" s="1738">
        <v>407152267</v>
      </c>
      <c r="AB14" s="1738">
        <v>217034312</v>
      </c>
      <c r="AC14" s="1557"/>
      <c r="AD14" s="1738">
        <f>AF14+AH14</f>
        <v>190117955</v>
      </c>
      <c r="AE14" s="1557"/>
      <c r="AF14" s="1738">
        <v>0</v>
      </c>
      <c r="AG14" s="1557"/>
      <c r="AH14" s="1738">
        <v>190117955</v>
      </c>
      <c r="AI14" s="1544"/>
    </row>
    <row r="15" spans="1:35">
      <c r="A15" s="1557"/>
      <c r="B15" s="1741" t="s">
        <v>1709</v>
      </c>
      <c r="C15" s="1741"/>
      <c r="D15" s="1741"/>
      <c r="E15" s="1741"/>
      <c r="F15" s="1741"/>
      <c r="G15" s="1741"/>
      <c r="H15" s="1741"/>
      <c r="I15" s="1741"/>
      <c r="J15" s="1741"/>
      <c r="K15" s="1741"/>
      <c r="L15" s="1741"/>
      <c r="M15" s="1741"/>
      <c r="N15" s="1741"/>
      <c r="O15" s="1741"/>
      <c r="P15" s="1749"/>
      <c r="Q15" s="1741"/>
      <c r="R15" s="1741"/>
      <c r="S15" s="1741"/>
      <c r="T15" s="1741"/>
      <c r="U15" s="1741"/>
      <c r="V15" s="1749"/>
      <c r="W15" s="1557"/>
      <c r="X15" s="1750">
        <v>254</v>
      </c>
      <c r="Y15" s="1557"/>
      <c r="Z15" s="1741">
        <v>-418440</v>
      </c>
      <c r="AB15" s="1741">
        <v>-223047</v>
      </c>
      <c r="AC15" s="1557"/>
      <c r="AD15" s="1741">
        <f>AF15+AH15</f>
        <v>-195393</v>
      </c>
      <c r="AE15" s="1557"/>
      <c r="AF15" s="1741">
        <v>0</v>
      </c>
      <c r="AG15" s="1557"/>
      <c r="AH15" s="1741">
        <v>-195393</v>
      </c>
      <c r="AI15" s="1544"/>
    </row>
    <row r="16" spans="1:35">
      <c r="A16" s="1557"/>
      <c r="B16" s="1744" t="s">
        <v>2039</v>
      </c>
      <c r="C16" s="1744"/>
      <c r="D16" s="1744"/>
      <c r="E16" s="1744"/>
      <c r="F16" s="1744"/>
      <c r="G16" s="1744"/>
      <c r="H16" s="1744"/>
      <c r="I16" s="1744"/>
      <c r="J16" s="1744"/>
      <c r="K16" s="1744"/>
      <c r="L16" s="1744"/>
      <c r="M16" s="1744"/>
      <c r="N16" s="1735"/>
      <c r="O16" s="1735"/>
      <c r="P16" s="1745"/>
      <c r="Q16" s="1744"/>
      <c r="R16" s="1744"/>
      <c r="S16" s="1744"/>
      <c r="T16" s="1735"/>
      <c r="U16" s="1735"/>
      <c r="V16" s="1745"/>
      <c r="W16" s="1557"/>
      <c r="X16" s="1746"/>
      <c r="Y16" s="1555"/>
      <c r="Z16" s="1744">
        <f>SUBTOTAL(9,Z9:Z15)</f>
        <v>-4569194881</v>
      </c>
      <c r="AB16" s="1744">
        <f>SUBTOTAL(9,AB9:AB15)</f>
        <v>-2933443547</v>
      </c>
      <c r="AC16" s="1555"/>
      <c r="AD16" s="1744">
        <f>SUBTOTAL(9,AD9:AD15)</f>
        <v>-1635751333.70521</v>
      </c>
      <c r="AE16" s="1555"/>
      <c r="AF16" s="1744">
        <f>SUBTOTAL(9,AF9:AF15)</f>
        <v>-1316688743</v>
      </c>
      <c r="AG16" s="1555"/>
      <c r="AH16" s="1744">
        <f>SUBTOTAL(9,AH9:AH15)</f>
        <v>-319062590.70520997</v>
      </c>
      <c r="AI16" s="1544"/>
    </row>
    <row r="17" spans="1:35">
      <c r="A17" s="1557"/>
      <c r="B17" s="1741" t="s">
        <v>1710</v>
      </c>
      <c r="C17" s="1741"/>
      <c r="D17" s="1741"/>
      <c r="E17" s="1741"/>
      <c r="F17" s="1741"/>
      <c r="G17" s="1741"/>
      <c r="H17" s="1741"/>
      <c r="I17" s="1741"/>
      <c r="J17" s="1741"/>
      <c r="K17" s="1741"/>
      <c r="L17" s="1741"/>
      <c r="M17" s="1741"/>
      <c r="N17" s="1741"/>
      <c r="O17" s="1741"/>
      <c r="P17" s="1742"/>
      <c r="Q17" s="1741"/>
      <c r="R17" s="1741"/>
      <c r="S17" s="1741"/>
      <c r="T17" s="1741"/>
      <c r="U17" s="1741"/>
      <c r="V17" s="1742"/>
      <c r="W17" s="1557"/>
      <c r="X17" s="1751"/>
      <c r="Y17" s="1557"/>
      <c r="Z17" s="1752"/>
      <c r="AB17" s="1752"/>
      <c r="AC17" s="1557"/>
      <c r="AD17" s="1741">
        <f>AF17+AH17</f>
        <v>-533294193</v>
      </c>
      <c r="AE17" s="1557"/>
      <c r="AF17" s="1741">
        <v>-429272131</v>
      </c>
      <c r="AG17" s="1557"/>
      <c r="AH17" s="1741">
        <v>-104022062</v>
      </c>
      <c r="AI17" s="1544"/>
    </row>
    <row r="18" spans="1:35">
      <c r="A18" s="1557"/>
      <c r="B18" s="1753" t="s">
        <v>2040</v>
      </c>
      <c r="C18" s="1753"/>
      <c r="D18" s="1753"/>
      <c r="E18" s="1753"/>
      <c r="F18" s="1753"/>
      <c r="G18" s="1753"/>
      <c r="H18" s="1753"/>
      <c r="I18" s="1753"/>
      <c r="J18" s="1753"/>
      <c r="K18" s="1754"/>
      <c r="L18" s="1753"/>
      <c r="M18" s="1753"/>
      <c r="N18" s="1754"/>
      <c r="O18" s="1754"/>
      <c r="P18" s="1755"/>
      <c r="Q18" s="1754"/>
      <c r="R18" s="1753"/>
      <c r="S18" s="1753"/>
      <c r="T18" s="1754"/>
      <c r="U18" s="1754"/>
      <c r="V18" s="1755"/>
      <c r="W18" s="1557"/>
      <c r="X18" s="1756">
        <v>254</v>
      </c>
      <c r="Y18" s="1555"/>
      <c r="Z18" s="1757"/>
      <c r="AB18" s="1757"/>
      <c r="AC18" s="1557"/>
      <c r="AD18" s="1753">
        <f>SUBTOTAL(9,AD9:AD17)</f>
        <v>-2169045526.7052097</v>
      </c>
      <c r="AE18" s="1557"/>
      <c r="AF18" s="1753">
        <f>SUBTOTAL(9,AF9:AF17)</f>
        <v>-1745960874</v>
      </c>
      <c r="AG18" s="1557"/>
      <c r="AH18" s="1753">
        <f>SUBTOTAL(9,AH9:AH17)</f>
        <v>-423084652.70520997</v>
      </c>
      <c r="AI18" s="1544"/>
    </row>
    <row r="19" spans="1:35">
      <c r="A19" s="1557"/>
      <c r="B19" s="1557"/>
      <c r="C19" s="1557"/>
      <c r="D19" s="1557"/>
      <c r="E19" s="1557"/>
      <c r="F19" s="1557"/>
      <c r="G19" s="1557"/>
      <c r="H19" s="1557"/>
      <c r="I19" s="1557"/>
      <c r="J19" s="1557"/>
      <c r="K19" s="1557"/>
      <c r="L19" s="1557"/>
      <c r="M19" s="1557"/>
      <c r="N19" s="1557"/>
      <c r="O19" s="1557"/>
      <c r="P19" s="1557"/>
      <c r="Q19" s="1557"/>
      <c r="R19" s="1557"/>
      <c r="S19" s="1557"/>
      <c r="T19" s="1557"/>
      <c r="U19" s="1557"/>
      <c r="V19" s="1557"/>
      <c r="W19" s="1557"/>
      <c r="X19" s="1557"/>
      <c r="Y19" s="1557"/>
      <c r="Z19" s="1557"/>
      <c r="AA19" s="1557"/>
      <c r="AB19" s="1557"/>
      <c r="AC19" s="1557"/>
      <c r="AD19" s="1557"/>
      <c r="AE19" s="1557"/>
      <c r="AF19" s="1557"/>
      <c r="AG19" s="1557"/>
      <c r="AH19" s="1557"/>
      <c r="AI19" s="1544"/>
    </row>
    <row r="20" spans="1:35">
      <c r="A20" s="1557"/>
      <c r="B20" s="1557"/>
      <c r="C20" s="1557"/>
      <c r="D20" s="1557"/>
      <c r="E20" s="1557"/>
      <c r="F20" s="1557"/>
      <c r="G20" s="1557"/>
      <c r="H20" s="1557"/>
      <c r="I20" s="1557"/>
      <c r="J20" s="1557"/>
      <c r="K20" s="1557"/>
      <c r="L20" s="1557"/>
      <c r="M20" s="1557"/>
      <c r="N20" s="1557"/>
      <c r="O20" s="1557"/>
      <c r="P20" s="1557"/>
      <c r="Q20" s="1557"/>
      <c r="R20" s="1557"/>
      <c r="S20" s="1557"/>
      <c r="T20" s="1557"/>
      <c r="U20" s="1557"/>
      <c r="V20" s="1557"/>
      <c r="W20" s="1557"/>
      <c r="X20" s="1557"/>
      <c r="Y20" s="1557"/>
      <c r="Z20" s="1557"/>
      <c r="AA20" s="1557"/>
      <c r="AB20" s="1557"/>
      <c r="AC20" s="1557"/>
      <c r="AD20" s="1557"/>
      <c r="AE20" s="1557"/>
      <c r="AF20" s="1557"/>
      <c r="AG20" s="1557"/>
      <c r="AH20" s="1557"/>
      <c r="AI20" s="1544"/>
    </row>
    <row r="21" spans="1:35">
      <c r="A21" s="1557"/>
      <c r="B21" s="1557"/>
      <c r="C21" s="1557"/>
      <c r="D21" s="1557"/>
      <c r="E21" s="1557"/>
      <c r="F21" s="1557"/>
      <c r="G21" s="1557"/>
      <c r="H21" s="1557"/>
      <c r="I21" s="1557"/>
      <c r="J21" s="1557"/>
      <c r="K21" s="1557"/>
      <c r="L21" s="1557"/>
      <c r="M21" s="1557"/>
      <c r="N21" s="1557"/>
      <c r="O21" s="1557"/>
      <c r="P21" s="1557"/>
      <c r="Q21" s="1557"/>
      <c r="R21" s="1557"/>
      <c r="S21" s="1557"/>
      <c r="T21" s="1557"/>
      <c r="U21" s="1557"/>
      <c r="V21" s="1557"/>
      <c r="W21" s="1557"/>
      <c r="X21" s="1557"/>
      <c r="Y21" s="1557"/>
      <c r="Z21" s="1557"/>
      <c r="AA21" s="1557"/>
      <c r="AB21" s="1557"/>
      <c r="AC21" s="1557"/>
      <c r="AD21" s="1557"/>
      <c r="AE21" s="1557"/>
      <c r="AF21" s="1557"/>
      <c r="AG21" s="1557"/>
      <c r="AH21" s="1557"/>
      <c r="AI21" s="1544"/>
    </row>
    <row r="22" spans="1:35">
      <c r="A22" s="1557"/>
      <c r="B22" s="1758" t="s">
        <v>2043</v>
      </c>
      <c r="C22" s="1758"/>
      <c r="D22" s="1758"/>
      <c r="E22" s="1758"/>
      <c r="F22" s="1758"/>
      <c r="G22" s="1758"/>
      <c r="H22" s="1758"/>
      <c r="I22" s="1758"/>
      <c r="J22" s="1758"/>
      <c r="K22" s="1758"/>
      <c r="L22" s="1758"/>
      <c r="M22" s="1758"/>
      <c r="N22" s="1759"/>
      <c r="O22" s="1759"/>
      <c r="P22" s="1759"/>
      <c r="Q22" s="1758"/>
      <c r="R22" s="1758"/>
      <c r="S22" s="1758"/>
      <c r="T22" s="1759"/>
      <c r="U22" s="1759"/>
      <c r="V22" s="1759"/>
      <c r="W22" s="1758"/>
      <c r="X22" s="1758"/>
      <c r="Y22" s="1758"/>
      <c r="Z22" s="1759"/>
      <c r="AA22" s="1759"/>
      <c r="AB22" s="1759"/>
      <c r="AC22" s="1760"/>
      <c r="AD22" s="1760"/>
      <c r="AE22" s="1761"/>
      <c r="AF22" s="1760"/>
      <c r="AG22" s="1760"/>
      <c r="AH22" s="1760"/>
      <c r="AI22" s="1544"/>
    </row>
    <row r="23" spans="1:35">
      <c r="A23" s="1557"/>
      <c r="B23" s="1753" t="s">
        <v>284</v>
      </c>
      <c r="C23" s="1753"/>
      <c r="D23" s="1753"/>
      <c r="E23" s="1753"/>
      <c r="F23" s="1753"/>
      <c r="G23" s="1753"/>
      <c r="H23" s="1753"/>
      <c r="I23" s="1753"/>
      <c r="J23" s="1753"/>
      <c r="K23" s="1754"/>
      <c r="L23" s="1753"/>
      <c r="M23" s="1753"/>
      <c r="N23" s="1754"/>
      <c r="O23" s="1754"/>
      <c r="P23" s="1754"/>
      <c r="Q23" s="1754"/>
      <c r="R23" s="1753"/>
      <c r="S23" s="1753"/>
      <c r="T23" s="1754"/>
      <c r="U23" s="1754"/>
      <c r="V23" s="1754"/>
      <c r="W23" s="1754"/>
      <c r="X23" s="1753"/>
      <c r="Y23" s="1753"/>
      <c r="Z23" s="1754"/>
      <c r="AA23" s="1754"/>
      <c r="AB23" s="1754"/>
      <c r="AC23" s="1557"/>
      <c r="AD23" s="1762" t="s">
        <v>111</v>
      </c>
      <c r="AE23" s="1557"/>
      <c r="AF23" s="1762" t="s">
        <v>1702</v>
      </c>
      <c r="AG23" s="1557"/>
      <c r="AH23" s="1762" t="s">
        <v>1703</v>
      </c>
      <c r="AI23" s="1544"/>
    </row>
    <row r="24" spans="1:35">
      <c r="A24" s="1557"/>
      <c r="B24" s="1735" t="s">
        <v>1678</v>
      </c>
      <c r="C24" s="1735"/>
      <c r="D24" s="1735"/>
      <c r="E24" s="1735"/>
      <c r="F24" s="1735"/>
      <c r="G24" s="1735"/>
      <c r="H24" s="1735"/>
      <c r="I24" s="1735"/>
      <c r="J24" s="1735"/>
      <c r="K24" s="1735"/>
      <c r="L24" s="1735"/>
      <c r="M24" s="1735"/>
      <c r="N24" s="1735"/>
      <c r="O24" s="1735"/>
      <c r="P24" s="1735"/>
      <c r="Q24" s="1735"/>
      <c r="R24" s="1735"/>
      <c r="S24" s="1735"/>
      <c r="T24" s="1735"/>
      <c r="U24" s="1735"/>
      <c r="V24" s="1735"/>
      <c r="W24" s="1735"/>
      <c r="X24" s="1735"/>
      <c r="Y24" s="1735"/>
      <c r="Z24" s="1735"/>
      <c r="AA24" s="1735"/>
      <c r="AB24" s="1735"/>
      <c r="AC24" s="1544"/>
      <c r="AD24" s="1735">
        <f>AF24+AH24</f>
        <v>-408886820</v>
      </c>
      <c r="AE24" s="1544" t="s">
        <v>230</v>
      </c>
      <c r="AF24" s="1735">
        <v>-351666905</v>
      </c>
      <c r="AG24" s="1543" t="s">
        <v>233</v>
      </c>
      <c r="AH24" s="1735">
        <v>-57219915</v>
      </c>
      <c r="AI24" s="1521" t="s">
        <v>235</v>
      </c>
    </row>
    <row r="25" spans="1:35">
      <c r="A25" s="1557"/>
      <c r="B25" s="1741" t="s">
        <v>895</v>
      </c>
      <c r="C25" s="1741"/>
      <c r="D25" s="1741"/>
      <c r="E25" s="1741"/>
      <c r="F25" s="1741"/>
      <c r="G25" s="1741"/>
      <c r="H25" s="1741"/>
      <c r="I25" s="1741"/>
      <c r="J25" s="1741"/>
      <c r="K25" s="1741"/>
      <c r="L25" s="1741"/>
      <c r="M25" s="1741"/>
      <c r="N25" s="1741"/>
      <c r="O25" s="1741"/>
      <c r="P25" s="1741"/>
      <c r="Q25" s="1741"/>
      <c r="R25" s="1741"/>
      <c r="S25" s="1741"/>
      <c r="T25" s="1741"/>
      <c r="U25" s="1741"/>
      <c r="V25" s="1741"/>
      <c r="W25" s="1741"/>
      <c r="X25" s="1741"/>
      <c r="Y25" s="1741"/>
      <c r="Z25" s="1741"/>
      <c r="AA25" s="1741"/>
      <c r="AB25" s="1741"/>
      <c r="AC25" s="1557"/>
      <c r="AD25" s="1741">
        <f>AD16-AD24</f>
        <v>-1226864513.70521</v>
      </c>
      <c r="AE25" s="1557"/>
      <c r="AF25" s="1741">
        <v>-965021838</v>
      </c>
      <c r="AG25" s="1557"/>
      <c r="AH25" s="1741">
        <v>-261842675.70520997</v>
      </c>
      <c r="AI25" s="1544"/>
    </row>
    <row r="26" spans="1:35">
      <c r="A26" s="1557"/>
      <c r="B26" s="1753" t="s">
        <v>2044</v>
      </c>
      <c r="C26" s="1753"/>
      <c r="D26" s="1753"/>
      <c r="E26" s="1753"/>
      <c r="F26" s="1753"/>
      <c r="G26" s="1753"/>
      <c r="H26" s="1753"/>
      <c r="I26" s="1753"/>
      <c r="J26" s="1753"/>
      <c r="K26" s="1753"/>
      <c r="L26" s="1753"/>
      <c r="M26" s="1753"/>
      <c r="N26" s="1754"/>
      <c r="O26" s="1754"/>
      <c r="P26" s="1754"/>
      <c r="Q26" s="1753"/>
      <c r="R26" s="1753"/>
      <c r="S26" s="1753"/>
      <c r="T26" s="1754"/>
      <c r="U26" s="1754"/>
      <c r="V26" s="1754"/>
      <c r="W26" s="1753"/>
      <c r="X26" s="1753"/>
      <c r="Y26" s="1753"/>
      <c r="Z26" s="1754"/>
      <c r="AA26" s="1754"/>
      <c r="AB26" s="1754"/>
      <c r="AC26" s="1555"/>
      <c r="AD26" s="1753">
        <f>SUBTOTAL(9,AD24:AD25)</f>
        <v>-1635751333.70521</v>
      </c>
      <c r="AE26" s="1557"/>
      <c r="AF26" s="1753">
        <f>SUBTOTAL(9,AF24:AF25)</f>
        <v>-1316688743</v>
      </c>
      <c r="AG26" s="1555"/>
      <c r="AH26" s="1753">
        <f>SUBTOTAL(9,AH24:AH25)</f>
        <v>-319062590.70520997</v>
      </c>
      <c r="AI26" s="1544"/>
    </row>
    <row r="27" spans="1:35">
      <c r="A27" s="1557"/>
      <c r="B27" s="1557"/>
      <c r="C27" s="1557"/>
      <c r="D27" s="1557"/>
      <c r="E27" s="1557"/>
      <c r="F27" s="1557"/>
      <c r="G27" s="1557"/>
      <c r="H27" s="1557"/>
      <c r="I27" s="1557"/>
      <c r="J27" s="1557"/>
      <c r="K27" s="1557"/>
      <c r="L27" s="1557"/>
      <c r="M27" s="1557"/>
      <c r="N27" s="1557"/>
      <c r="O27" s="1557"/>
      <c r="P27" s="1557"/>
      <c r="Q27" s="1557"/>
      <c r="R27" s="1557"/>
      <c r="S27" s="1557"/>
      <c r="T27" s="1557"/>
      <c r="U27" s="1557"/>
      <c r="V27" s="1557"/>
      <c r="W27" s="1557"/>
      <c r="X27" s="1557"/>
      <c r="Y27" s="1557"/>
      <c r="Z27" s="1557"/>
      <c r="AA27" s="1557"/>
      <c r="AB27" s="1557"/>
      <c r="AC27" s="1557"/>
      <c r="AD27" s="1557"/>
      <c r="AE27" s="1557"/>
      <c r="AF27" s="1557"/>
      <c r="AG27" s="1557"/>
      <c r="AH27" s="1557"/>
      <c r="AI27" s="1544"/>
    </row>
    <row r="28" spans="1:35">
      <c r="A28" s="1557"/>
      <c r="B28" s="1521" t="s">
        <v>230</v>
      </c>
      <c r="C28" s="321" t="s">
        <v>1792</v>
      </c>
      <c r="D28" s="1557"/>
      <c r="E28" s="1557"/>
      <c r="F28" s="1557"/>
      <c r="G28" s="1557"/>
      <c r="H28" s="1557"/>
      <c r="I28" s="1557"/>
      <c r="J28" s="1557"/>
      <c r="K28" s="1557"/>
      <c r="L28" s="1557"/>
      <c r="M28" s="1557"/>
      <c r="N28" s="1557"/>
      <c r="O28" s="1557"/>
      <c r="P28" s="1557"/>
      <c r="Q28" s="1557"/>
      <c r="R28" s="1557"/>
      <c r="S28" s="1557"/>
      <c r="T28" s="1557"/>
      <c r="U28" s="1557"/>
      <c r="V28" s="1557"/>
      <c r="W28" s="1557"/>
      <c r="X28" s="1557"/>
      <c r="Y28" s="1557"/>
      <c r="Z28" s="1557"/>
      <c r="AA28" s="1557"/>
      <c r="AB28" s="1557"/>
      <c r="AC28" s="1557"/>
      <c r="AD28" s="1557"/>
      <c r="AE28" s="1557"/>
      <c r="AF28" s="1557"/>
      <c r="AG28" s="1557"/>
      <c r="AH28" s="1557"/>
      <c r="AI28" s="1544"/>
    </row>
    <row r="29" spans="1:35">
      <c r="A29" s="1557"/>
      <c r="B29" s="1521" t="s">
        <v>233</v>
      </c>
      <c r="C29" s="321" t="s">
        <v>1711</v>
      </c>
      <c r="D29" s="1557"/>
      <c r="E29" s="1557"/>
      <c r="F29" s="1557"/>
      <c r="G29" s="1557"/>
      <c r="H29" s="1557"/>
      <c r="I29" s="1557"/>
      <c r="J29" s="1557"/>
      <c r="K29" s="1557"/>
      <c r="L29" s="1557"/>
      <c r="M29" s="1557"/>
      <c r="N29" s="1557"/>
      <c r="O29" s="1557"/>
      <c r="P29" s="1557"/>
      <c r="Q29" s="1557"/>
      <c r="R29" s="1557"/>
      <c r="S29" s="1557"/>
      <c r="T29" s="1557"/>
      <c r="U29" s="1557"/>
      <c r="V29" s="1557"/>
      <c r="W29" s="1557"/>
      <c r="X29" s="1557"/>
      <c r="Y29" s="1557"/>
      <c r="Z29" s="1557"/>
      <c r="AA29" s="1557"/>
      <c r="AB29" s="1557"/>
      <c r="AC29" s="1557"/>
      <c r="AD29" s="1557"/>
      <c r="AE29" s="1557"/>
      <c r="AF29" s="1557"/>
      <c r="AG29" s="1557"/>
      <c r="AH29" s="1557"/>
      <c r="AI29" s="1544"/>
    </row>
    <row r="30" spans="1:35">
      <c r="A30" s="1557"/>
      <c r="B30" s="1521" t="s">
        <v>235</v>
      </c>
      <c r="C30" s="321" t="s">
        <v>1712</v>
      </c>
      <c r="D30" s="1557"/>
      <c r="E30" s="1557"/>
      <c r="F30" s="1557"/>
      <c r="G30" s="1557"/>
      <c r="H30" s="1557"/>
      <c r="I30" s="1557"/>
      <c r="J30" s="1557"/>
      <c r="K30" s="1557"/>
      <c r="L30" s="1557"/>
      <c r="M30" s="1557"/>
      <c r="N30" s="1557"/>
      <c r="O30" s="1557"/>
      <c r="P30" s="1557"/>
      <c r="Q30" s="1557"/>
      <c r="R30" s="1557"/>
      <c r="S30" s="1557"/>
      <c r="T30" s="1557"/>
      <c r="U30" s="1557"/>
      <c r="V30" s="1557"/>
      <c r="W30" s="1557"/>
      <c r="X30" s="1557"/>
      <c r="Y30" s="1557"/>
      <c r="Z30" s="1557"/>
      <c r="AA30" s="1557"/>
      <c r="AB30" s="1557"/>
      <c r="AC30" s="1557"/>
      <c r="AD30" s="1557"/>
      <c r="AE30" s="1557"/>
      <c r="AF30" s="1557"/>
      <c r="AG30" s="1557"/>
      <c r="AH30" s="1557"/>
      <c r="AI30" s="1544"/>
    </row>
    <row r="31" spans="1:35">
      <c r="A31" s="1557"/>
      <c r="B31" s="1557"/>
      <c r="C31" s="1557"/>
      <c r="D31" s="1557"/>
      <c r="E31" s="1557"/>
      <c r="F31" s="1557"/>
      <c r="G31" s="1557"/>
      <c r="H31" s="1557"/>
      <c r="I31" s="1557"/>
      <c r="J31" s="1557"/>
      <c r="K31" s="1557"/>
      <c r="L31" s="1557"/>
      <c r="M31" s="1557"/>
      <c r="N31" s="1557"/>
      <c r="O31" s="1557"/>
      <c r="P31" s="1557"/>
      <c r="Q31" s="1557"/>
      <c r="R31" s="1557"/>
      <c r="S31" s="1557"/>
      <c r="T31" s="1557"/>
      <c r="U31" s="1557"/>
      <c r="V31" s="1557"/>
      <c r="W31" s="1557"/>
      <c r="X31" s="1557"/>
      <c r="Y31" s="1557"/>
      <c r="Z31" s="1557"/>
      <c r="AA31" s="1557"/>
      <c r="AB31" s="1557"/>
      <c r="AC31" s="1557"/>
      <c r="AD31" s="1557"/>
      <c r="AE31" s="1557"/>
      <c r="AF31" s="1557"/>
      <c r="AG31" s="1557"/>
      <c r="AH31" s="1557"/>
      <c r="AI31" s="1544"/>
    </row>
    <row r="32" spans="1:35">
      <c r="A32" s="1557"/>
      <c r="B32" s="1557"/>
      <c r="C32" s="1557"/>
      <c r="D32" s="1557"/>
      <c r="E32" s="1557"/>
      <c r="F32" s="1557"/>
      <c r="G32" s="1557"/>
      <c r="H32" s="1557"/>
      <c r="I32" s="1557"/>
      <c r="J32" s="1557"/>
      <c r="K32" s="1557"/>
      <c r="L32" s="1557"/>
      <c r="M32" s="1557"/>
      <c r="N32" s="1557"/>
      <c r="O32" s="1557"/>
      <c r="P32" s="1557"/>
      <c r="Q32" s="1557"/>
      <c r="R32" s="1557"/>
      <c r="S32" s="1557"/>
      <c r="T32" s="1557"/>
      <c r="U32" s="1557"/>
      <c r="V32" s="1557"/>
      <c r="W32" s="1557"/>
      <c r="X32" s="1557"/>
      <c r="Y32" s="1557"/>
      <c r="Z32" s="1557"/>
      <c r="AA32" s="1557"/>
      <c r="AB32" s="1557"/>
      <c r="AC32" s="1557"/>
      <c r="AD32" s="1557"/>
      <c r="AE32" s="1557"/>
      <c r="AF32" s="1557"/>
      <c r="AG32" s="1557"/>
      <c r="AH32" s="1557"/>
      <c r="AI32" s="1544"/>
    </row>
    <row r="33" spans="1:46" ht="12.75" customHeight="1">
      <c r="A33" s="1557"/>
      <c r="B33" s="1763" t="s">
        <v>2045</v>
      </c>
      <c r="C33" s="1760"/>
      <c r="D33" s="1760"/>
      <c r="E33" s="1760"/>
      <c r="F33" s="1760"/>
      <c r="G33" s="1760"/>
      <c r="H33" s="1760"/>
      <c r="I33" s="1760"/>
      <c r="J33" s="1760"/>
      <c r="K33" s="1760"/>
      <c r="L33" s="1760"/>
      <c r="M33" s="1760"/>
      <c r="N33" s="1760"/>
      <c r="O33" s="1760"/>
      <c r="P33" s="1760"/>
      <c r="Q33" s="1760"/>
      <c r="R33" s="1760"/>
      <c r="S33" s="1760"/>
      <c r="T33" s="1760"/>
      <c r="U33" s="1760"/>
      <c r="V33" s="1760"/>
      <c r="W33" s="1760"/>
      <c r="X33" s="1760"/>
      <c r="Y33" s="1760"/>
      <c r="Z33" s="1760"/>
      <c r="AA33" s="1760"/>
      <c r="AB33" s="1760"/>
      <c r="AC33" s="1760"/>
      <c r="AD33" s="1760"/>
      <c r="AE33" s="1760"/>
      <c r="AF33" s="1760"/>
      <c r="AG33" s="1760"/>
      <c r="AH33" s="1760"/>
      <c r="AI33" s="1544"/>
      <c r="AJ33" s="1939" t="s">
        <v>2036</v>
      </c>
      <c r="AK33" s="1940"/>
      <c r="AL33" s="1940"/>
      <c r="AM33" s="1940"/>
      <c r="AN33" s="1940"/>
      <c r="AO33" s="1940"/>
      <c r="AP33" s="1940"/>
      <c r="AQ33" s="1940"/>
      <c r="AR33" s="1940"/>
      <c r="AS33" s="1940"/>
      <c r="AT33" s="1940"/>
    </row>
    <row r="34" spans="1:46" ht="12.75" customHeight="1">
      <c r="A34" s="1557"/>
      <c r="B34" s="1554" t="s">
        <v>1678</v>
      </c>
      <c r="C34" s="1764"/>
      <c r="D34" s="1764"/>
      <c r="E34" s="1764"/>
      <c r="F34" s="1764"/>
      <c r="G34" s="1764"/>
      <c r="H34" s="1764"/>
      <c r="I34" s="1554"/>
      <c r="J34" s="1554"/>
      <c r="K34" s="1554"/>
      <c r="L34" s="1764"/>
      <c r="M34" s="1764"/>
      <c r="N34" s="1554"/>
      <c r="O34" s="1554"/>
      <c r="P34" s="1554"/>
      <c r="Q34" s="1554"/>
      <c r="R34" s="1764"/>
      <c r="S34" s="1764"/>
      <c r="T34" s="1554"/>
      <c r="U34" s="1554"/>
      <c r="V34" s="1554"/>
      <c r="W34" s="1554"/>
      <c r="X34" s="1764"/>
      <c r="Y34" s="1764"/>
      <c r="Z34" s="1554"/>
      <c r="AA34" s="1554"/>
      <c r="AB34" s="1554"/>
      <c r="AC34" s="1556"/>
      <c r="AD34" s="1765" t="s">
        <v>1713</v>
      </c>
      <c r="AE34" s="1766"/>
      <c r="AF34" s="1766"/>
      <c r="AG34" s="1766"/>
      <c r="AH34" s="1766"/>
      <c r="AI34" s="1544"/>
      <c r="AJ34" s="1941"/>
      <c r="AK34" s="1941"/>
      <c r="AL34" s="1941"/>
      <c r="AM34" s="1941"/>
      <c r="AN34" s="1941"/>
      <c r="AO34" s="1941"/>
      <c r="AP34" s="1941"/>
      <c r="AQ34" s="1941"/>
      <c r="AR34" s="1941"/>
      <c r="AS34" s="1941"/>
      <c r="AT34" s="1941"/>
    </row>
    <row r="35" spans="1:46" ht="12.75" customHeight="1">
      <c r="B35" s="1767"/>
      <c r="C35" s="1768"/>
      <c r="D35" s="1769"/>
      <c r="E35" s="1769"/>
      <c r="F35" s="1769"/>
      <c r="G35" s="1769"/>
      <c r="H35" s="1760" t="s">
        <v>2046</v>
      </c>
      <c r="I35" s="1760"/>
      <c r="J35" s="1760"/>
      <c r="K35" s="1760"/>
      <c r="L35" s="1760"/>
      <c r="M35" s="1760"/>
      <c r="N35" s="1760"/>
      <c r="O35" s="1760"/>
      <c r="P35" s="1760"/>
      <c r="Q35" s="1760"/>
      <c r="R35" s="1760"/>
      <c r="S35" s="1760"/>
      <c r="T35" s="1760"/>
      <c r="U35" s="1760"/>
      <c r="V35" s="1760"/>
      <c r="W35" s="1770"/>
      <c r="X35" s="1561"/>
      <c r="Y35" s="1769"/>
      <c r="Z35" s="1758" t="s">
        <v>1703</v>
      </c>
      <c r="AA35" s="1758"/>
      <c r="AB35" s="1758"/>
      <c r="AC35" s="1556"/>
      <c r="AD35" s="1771"/>
      <c r="AE35" s="493"/>
      <c r="AF35" s="1772" t="s">
        <v>1801</v>
      </c>
      <c r="AG35" s="1772"/>
      <c r="AH35" s="1772"/>
      <c r="AI35" s="1544"/>
      <c r="AJ35" s="1941"/>
      <c r="AK35" s="1941"/>
      <c r="AL35" s="1941"/>
      <c r="AM35" s="1941"/>
      <c r="AN35" s="1941"/>
      <c r="AO35" s="1941"/>
      <c r="AP35" s="1941"/>
      <c r="AQ35" s="1941"/>
      <c r="AR35" s="1941"/>
      <c r="AS35" s="1941"/>
      <c r="AT35" s="1941"/>
    </row>
    <row r="36" spans="1:46" ht="12.75" customHeight="1">
      <c r="B36" s="1557"/>
      <c r="C36" s="1557"/>
      <c r="D36" s="1557"/>
      <c r="E36" s="1557"/>
      <c r="F36" s="1556" t="s">
        <v>1714</v>
      </c>
      <c r="G36" s="1557"/>
      <c r="H36" s="1554" t="s">
        <v>359</v>
      </c>
      <c r="I36" s="1554"/>
      <c r="J36" s="1554"/>
      <c r="K36" s="1555"/>
      <c r="L36" s="1556" t="s">
        <v>1714</v>
      </c>
      <c r="M36" s="1557"/>
      <c r="N36" s="1554" t="s">
        <v>1802</v>
      </c>
      <c r="O36" s="1554"/>
      <c r="P36" s="1554"/>
      <c r="Q36" s="1555"/>
      <c r="R36" s="1556" t="s">
        <v>1714</v>
      </c>
      <c r="S36" s="1557"/>
      <c r="T36" s="1554" t="s">
        <v>1343</v>
      </c>
      <c r="U36" s="1554"/>
      <c r="V36" s="1554"/>
      <c r="W36" s="1555"/>
      <c r="X36" s="1556" t="s">
        <v>1714</v>
      </c>
      <c r="Y36" s="1557"/>
      <c r="Z36" s="1554" t="s">
        <v>1803</v>
      </c>
      <c r="AA36" s="1554"/>
      <c r="AB36" s="1554"/>
      <c r="AC36" s="1556"/>
      <c r="AD36" s="1558" t="s">
        <v>1777</v>
      </c>
      <c r="AE36" s="1558"/>
      <c r="AF36" s="1765" t="s">
        <v>1803</v>
      </c>
      <c r="AG36" s="1773"/>
      <c r="AH36" s="1765"/>
      <c r="AI36" s="1544"/>
      <c r="AJ36" s="1942"/>
      <c r="AK36" s="1942"/>
      <c r="AL36" s="1942"/>
      <c r="AM36" s="1942"/>
      <c r="AN36" s="1942"/>
      <c r="AO36" s="1942"/>
      <c r="AP36" s="1942"/>
      <c r="AQ36" s="1942"/>
      <c r="AR36" s="1942"/>
      <c r="AS36" s="1942"/>
      <c r="AT36" s="1942"/>
    </row>
    <row r="37" spans="1:46">
      <c r="B37" s="1557"/>
      <c r="C37" s="1557"/>
      <c r="D37" s="1557"/>
      <c r="E37" s="1557"/>
      <c r="F37" s="1556" t="s">
        <v>1715</v>
      </c>
      <c r="G37" s="1557"/>
      <c r="H37" s="1761">
        <v>-344474995</v>
      </c>
      <c r="I37" s="1761"/>
      <c r="J37" s="1761"/>
      <c r="K37" s="1557"/>
      <c r="L37" s="1556" t="s">
        <v>1715</v>
      </c>
      <c r="M37" s="1557"/>
      <c r="N37" s="1761">
        <v>-5796735</v>
      </c>
      <c r="O37" s="1761"/>
      <c r="P37" s="1761"/>
      <c r="Q37" s="1557"/>
      <c r="R37" s="1556" t="s">
        <v>1715</v>
      </c>
      <c r="S37" s="1557"/>
      <c r="T37" s="1761">
        <v>-1395176</v>
      </c>
      <c r="U37" s="1761"/>
      <c r="V37" s="1761"/>
      <c r="W37" s="1557"/>
      <c r="X37" s="1556" t="s">
        <v>1715</v>
      </c>
      <c r="Y37" s="1557"/>
      <c r="Z37" s="1761">
        <v>-57219915</v>
      </c>
      <c r="AA37" s="1761"/>
      <c r="AB37" s="1761"/>
      <c r="AC37" s="1561"/>
      <c r="AD37" s="1559" t="s">
        <v>1778</v>
      </c>
      <c r="AE37" s="1558"/>
      <c r="AF37" s="321"/>
      <c r="AG37" s="321"/>
      <c r="AH37" s="1559" t="s">
        <v>858</v>
      </c>
      <c r="AI37" s="1544"/>
      <c r="AJ37" s="1546"/>
      <c r="AK37" s="1546"/>
      <c r="AL37" s="1546" t="s">
        <v>1710</v>
      </c>
      <c r="AN37" s="1546" t="s">
        <v>1886</v>
      </c>
      <c r="AP37" s="1546"/>
      <c r="AR37" s="1546" t="s">
        <v>1715</v>
      </c>
      <c r="AT37" s="1546" t="s">
        <v>1887</v>
      </c>
    </row>
    <row r="38" spans="1:46">
      <c r="B38" s="1561" t="s">
        <v>1716</v>
      </c>
      <c r="C38" s="1557"/>
      <c r="D38" s="1762" t="s">
        <v>789</v>
      </c>
      <c r="E38" s="1557"/>
      <c r="F38" s="1556" t="s">
        <v>1008</v>
      </c>
      <c r="G38" s="1557"/>
      <c r="H38" s="1774" t="s">
        <v>1717</v>
      </c>
      <c r="I38" s="1556" t="s">
        <v>175</v>
      </c>
      <c r="J38" s="1774" t="s">
        <v>1718</v>
      </c>
      <c r="K38" s="1557"/>
      <c r="L38" s="1556" t="s">
        <v>1008</v>
      </c>
      <c r="M38" s="1557"/>
      <c r="N38" s="1774" t="s">
        <v>1717</v>
      </c>
      <c r="O38" s="1556" t="s">
        <v>175</v>
      </c>
      <c r="P38" s="1774" t="s">
        <v>1718</v>
      </c>
      <c r="Q38" s="1557"/>
      <c r="R38" s="1556" t="s">
        <v>1008</v>
      </c>
      <c r="S38" s="1557"/>
      <c r="T38" s="1774" t="s">
        <v>1717</v>
      </c>
      <c r="U38" s="1556" t="s">
        <v>175</v>
      </c>
      <c r="V38" s="1774" t="s">
        <v>1718</v>
      </c>
      <c r="W38" s="1557"/>
      <c r="X38" s="1556" t="s">
        <v>1008</v>
      </c>
      <c r="Y38" s="1557"/>
      <c r="Z38" s="1774" t="s">
        <v>1717</v>
      </c>
      <c r="AA38" s="1556" t="s">
        <v>175</v>
      </c>
      <c r="AB38" s="1774" t="s">
        <v>1718</v>
      </c>
      <c r="AC38" s="1557"/>
      <c r="AD38" s="1558" t="s">
        <v>1779</v>
      </c>
      <c r="AE38" s="1558"/>
      <c r="AF38" s="1559" t="s">
        <v>1718</v>
      </c>
      <c r="AG38" s="321"/>
      <c r="AH38" s="1558" t="s">
        <v>1779</v>
      </c>
      <c r="AI38" s="1544"/>
      <c r="AJ38" s="1517" t="s">
        <v>1888</v>
      </c>
      <c r="AK38" s="1546"/>
      <c r="AL38" s="1517" t="s">
        <v>1889</v>
      </c>
      <c r="AN38" s="1517" t="s">
        <v>1887</v>
      </c>
      <c r="AP38" s="1517" t="s">
        <v>1890</v>
      </c>
      <c r="AR38" s="1517" t="s">
        <v>1891</v>
      </c>
      <c r="AT38" s="1517" t="s">
        <v>1892</v>
      </c>
    </row>
    <row r="39" spans="1:46">
      <c r="B39" s="1775">
        <v>1</v>
      </c>
      <c r="C39" s="1557"/>
      <c r="D39" s="1776" t="s">
        <v>1719</v>
      </c>
      <c r="E39" s="1544"/>
      <c r="F39" s="1777">
        <v>46</v>
      </c>
      <c r="H39" s="1778">
        <f>ROUND($H$37/F39,0)</f>
        <v>-7488587</v>
      </c>
      <c r="J39" s="1778">
        <f>H37-H39</f>
        <v>-336986408</v>
      </c>
      <c r="L39" s="1777">
        <v>15.9</v>
      </c>
      <c r="N39" s="1778">
        <f>ROUND($N$37/L39,0)</f>
        <v>-364575</v>
      </c>
      <c r="P39" s="1778">
        <f>N37-N39</f>
        <v>-5432160</v>
      </c>
      <c r="R39" s="1777">
        <v>15.9</v>
      </c>
      <c r="T39" s="1778">
        <f>ROUND($T$37/R39,0)</f>
        <v>-87747</v>
      </c>
      <c r="V39" s="1778">
        <f>T37-T39</f>
        <v>-1307429</v>
      </c>
      <c r="X39" s="1777">
        <v>5</v>
      </c>
      <c r="Z39" s="1778">
        <f>-H39-N39-T39</f>
        <v>7940909</v>
      </c>
      <c r="AB39" s="1778">
        <f>Z37-Z39</f>
        <v>-65160824</v>
      </c>
      <c r="AD39" s="1778">
        <f t="shared" ref="AD39:AD89" si="0">H39+N39+T39+Z39</f>
        <v>0</v>
      </c>
      <c r="AF39" s="1778">
        <f>J39++P39+V39+AB39</f>
        <v>-408886821</v>
      </c>
      <c r="AH39" s="1778">
        <v>0</v>
      </c>
      <c r="AI39" s="1521" t="s">
        <v>236</v>
      </c>
      <c r="AJ39" s="1779">
        <v>0.245866</v>
      </c>
      <c r="AK39" s="1780"/>
      <c r="AL39" s="1779">
        <f>ROUND(1/(1-AJ39),6)-1</f>
        <v>0.32602400000000009</v>
      </c>
      <c r="AN39" s="1778">
        <f>AF39</f>
        <v>-408886821</v>
      </c>
      <c r="AP39" s="1778">
        <f>ROUND(AL39*AN39,0)</f>
        <v>-133306917</v>
      </c>
      <c r="AR39" s="1778">
        <f>AF39+AP39</f>
        <v>-542193738</v>
      </c>
      <c r="AT39" s="1778">
        <f>-ROUND(AJ39*AR39,0)</f>
        <v>133307006</v>
      </c>
    </row>
    <row r="40" spans="1:46">
      <c r="B40" s="1781">
        <v>2</v>
      </c>
      <c r="C40" s="1557"/>
      <c r="D40" s="1782" t="s">
        <v>1720</v>
      </c>
      <c r="E40" s="1544"/>
      <c r="F40" s="1547">
        <v>46</v>
      </c>
      <c r="H40" s="1523">
        <f t="shared" ref="H40:H89" si="1">ROUND($H$37/F40,0)</f>
        <v>-7488587</v>
      </c>
      <c r="J40" s="1523">
        <f>J39-H40</f>
        <v>-329497821</v>
      </c>
      <c r="L40" s="1547">
        <v>15.9</v>
      </c>
      <c r="N40" s="1523">
        <f t="shared" ref="N40:N56" si="2">ROUND($N$37/L40,0)</f>
        <v>-364575</v>
      </c>
      <c r="P40" s="1523">
        <f>P39-N40</f>
        <v>-5067585</v>
      </c>
      <c r="R40" s="1547">
        <v>15.9</v>
      </c>
      <c r="T40" s="1523">
        <f t="shared" ref="T40:T56" si="3">ROUND($T$37/R40,0)</f>
        <v>-87747</v>
      </c>
      <c r="V40" s="1523">
        <f>V39-T40</f>
        <v>-1219682</v>
      </c>
      <c r="X40" s="1547">
        <v>5</v>
      </c>
      <c r="Z40" s="1523">
        <f>ROUND($AB$39/5,0)</f>
        <v>-13032165</v>
      </c>
      <c r="AB40" s="1523">
        <f>AB39-Z40</f>
        <v>-52128659</v>
      </c>
      <c r="AD40" s="1523">
        <f t="shared" si="0"/>
        <v>-20973074</v>
      </c>
      <c r="AF40" s="1523">
        <f>AF39-AD40</f>
        <v>-387913747</v>
      </c>
      <c r="AH40" s="1523">
        <f>AVERAGE(AD39,AF40)</f>
        <v>-193956873.5</v>
      </c>
      <c r="AI40" s="1521" t="s">
        <v>238</v>
      </c>
      <c r="AJ40" s="1783">
        <v>0.245866</v>
      </c>
      <c r="AK40" s="1780"/>
      <c r="AL40" s="1783">
        <f t="shared" ref="AL40:AL89" si="4">ROUND(1/(1-AJ40),6)-1</f>
        <v>0.32602400000000009</v>
      </c>
      <c r="AN40" s="1523">
        <f t="shared" ref="AN40:AN89" si="5">AF40</f>
        <v>-387913747</v>
      </c>
      <c r="AP40" s="1523">
        <f t="shared" ref="AP40:AP89" si="6">ROUND(AL40*AN40,0)</f>
        <v>-126469191</v>
      </c>
      <c r="AR40" s="1523">
        <f t="shared" ref="AR40:AR89" si="7">AF40+AP40</f>
        <v>-514382938</v>
      </c>
      <c r="AT40" s="1523">
        <f t="shared" ref="AT40:AT89" si="8">-ROUND(AJ40*AR40,0)</f>
        <v>126469275</v>
      </c>
    </row>
    <row r="41" spans="1:46">
      <c r="B41" s="1781">
        <v>3</v>
      </c>
      <c r="C41" s="1557"/>
      <c r="D41" s="1782" t="s">
        <v>1721</v>
      </c>
      <c r="E41" s="1544"/>
      <c r="F41" s="1547">
        <v>46</v>
      </c>
      <c r="H41" s="1523">
        <f t="shared" si="1"/>
        <v>-7488587</v>
      </c>
      <c r="J41" s="1523">
        <f>J40-H41</f>
        <v>-322009234</v>
      </c>
      <c r="L41" s="1547">
        <v>15.9</v>
      </c>
      <c r="N41" s="1523">
        <f t="shared" si="2"/>
        <v>-364575</v>
      </c>
      <c r="P41" s="1523">
        <f t="shared" ref="P41:P89" si="9">P40-N41</f>
        <v>-4703010</v>
      </c>
      <c r="R41" s="1547">
        <v>15.9</v>
      </c>
      <c r="T41" s="1523">
        <f t="shared" si="3"/>
        <v>-87747</v>
      </c>
      <c r="V41" s="1523">
        <f t="shared" ref="V41:V89" si="10">V40-T41</f>
        <v>-1131935</v>
      </c>
      <c r="X41" s="1547">
        <v>5</v>
      </c>
      <c r="Z41" s="1523">
        <f t="shared" ref="Z41:Z43" si="11">ROUND($AB$39/5,0)</f>
        <v>-13032165</v>
      </c>
      <c r="AB41" s="1523">
        <f t="shared" ref="AB41:AB89" si="12">AB40-Z41</f>
        <v>-39096494</v>
      </c>
      <c r="AD41" s="1523">
        <f t="shared" si="0"/>
        <v>-20973074</v>
      </c>
      <c r="AF41" s="1523">
        <f t="shared" ref="AF41:AF89" si="13">AF40-AD41</f>
        <v>-366940673</v>
      </c>
      <c r="AH41" s="1523">
        <f>AVERAGE(AF40:AF41)</f>
        <v>-377427210</v>
      </c>
      <c r="AI41" s="1544"/>
      <c r="AJ41" s="1783">
        <v>0.245866</v>
      </c>
      <c r="AK41" s="1780"/>
      <c r="AL41" s="1783">
        <f t="shared" si="4"/>
        <v>0.32602400000000009</v>
      </c>
      <c r="AN41" s="1523">
        <f t="shared" si="5"/>
        <v>-366940673</v>
      </c>
      <c r="AP41" s="1523">
        <f t="shared" si="6"/>
        <v>-119631466</v>
      </c>
      <c r="AR41" s="1523">
        <f t="shared" si="7"/>
        <v>-486572139</v>
      </c>
      <c r="AT41" s="1523">
        <f t="shared" si="8"/>
        <v>119631546</v>
      </c>
    </row>
    <row r="42" spans="1:46">
      <c r="B42" s="1781">
        <v>4</v>
      </c>
      <c r="C42" s="1557"/>
      <c r="D42" s="1782" t="s">
        <v>1722</v>
      </c>
      <c r="E42" s="1544"/>
      <c r="F42" s="1547">
        <v>53.2</v>
      </c>
      <c r="H42" s="1523">
        <f t="shared" si="1"/>
        <v>-6475094</v>
      </c>
      <c r="J42" s="1523">
        <f>J41-H42</f>
        <v>-315534140</v>
      </c>
      <c r="L42" s="1547">
        <v>18.5</v>
      </c>
      <c r="N42" s="1523">
        <f t="shared" si="2"/>
        <v>-313337</v>
      </c>
      <c r="P42" s="1523">
        <f t="shared" si="9"/>
        <v>-4389673</v>
      </c>
      <c r="R42" s="1547">
        <v>18.5</v>
      </c>
      <c r="T42" s="1523">
        <f t="shared" si="3"/>
        <v>-75415</v>
      </c>
      <c r="V42" s="1523">
        <f t="shared" si="10"/>
        <v>-1056520</v>
      </c>
      <c r="X42" s="1547">
        <v>5</v>
      </c>
      <c r="Z42" s="1523">
        <f t="shared" si="11"/>
        <v>-13032165</v>
      </c>
      <c r="AB42" s="1523">
        <f t="shared" si="12"/>
        <v>-26064329</v>
      </c>
      <c r="AD42" s="1523">
        <f t="shared" si="0"/>
        <v>-19896011</v>
      </c>
      <c r="AF42" s="1523">
        <f t="shared" si="13"/>
        <v>-347044662</v>
      </c>
      <c r="AH42" s="1523">
        <f>AVERAGE(AF41:AF42)</f>
        <v>-356992667.5</v>
      </c>
      <c r="AI42" s="1544"/>
      <c r="AJ42" s="1783">
        <v>0.245866</v>
      </c>
      <c r="AK42" s="1780"/>
      <c r="AL42" s="1783">
        <f t="shared" si="4"/>
        <v>0.32602400000000009</v>
      </c>
      <c r="AN42" s="1523">
        <f t="shared" si="5"/>
        <v>-347044662</v>
      </c>
      <c r="AP42" s="1523">
        <f t="shared" si="6"/>
        <v>-113144889</v>
      </c>
      <c r="AR42" s="1523">
        <f t="shared" si="7"/>
        <v>-460189551</v>
      </c>
      <c r="AT42" s="1523">
        <f t="shared" si="8"/>
        <v>113144964</v>
      </c>
    </row>
    <row r="43" spans="1:46">
      <c r="B43" s="1781">
        <v>5</v>
      </c>
      <c r="C43" s="1557"/>
      <c r="D43" s="1782" t="s">
        <v>1723</v>
      </c>
      <c r="E43" s="1544"/>
      <c r="F43" s="1547">
        <v>53.2</v>
      </c>
      <c r="H43" s="1523">
        <f t="shared" si="1"/>
        <v>-6475094</v>
      </c>
      <c r="J43" s="1523">
        <f>J42-H43</f>
        <v>-309059046</v>
      </c>
      <c r="L43" s="1547">
        <v>18.5</v>
      </c>
      <c r="N43" s="1523">
        <f t="shared" si="2"/>
        <v>-313337</v>
      </c>
      <c r="P43" s="1523">
        <f t="shared" si="9"/>
        <v>-4076336</v>
      </c>
      <c r="R43" s="1547">
        <v>18.5</v>
      </c>
      <c r="T43" s="1523">
        <f t="shared" si="3"/>
        <v>-75415</v>
      </c>
      <c r="V43" s="1523">
        <f t="shared" si="10"/>
        <v>-981105</v>
      </c>
      <c r="X43" s="1547">
        <v>5</v>
      </c>
      <c r="Z43" s="1523">
        <f t="shared" si="11"/>
        <v>-13032165</v>
      </c>
      <c r="AB43" s="1523">
        <f t="shared" si="12"/>
        <v>-13032164</v>
      </c>
      <c r="AD43" s="1523">
        <f t="shared" si="0"/>
        <v>-19896011</v>
      </c>
      <c r="AF43" s="1523">
        <f t="shared" si="13"/>
        <v>-327148651</v>
      </c>
      <c r="AH43" s="1523">
        <f t="shared" ref="AH43:AH89" si="14">AVERAGE(AF42:AF43)</f>
        <v>-337096656.5</v>
      </c>
      <c r="AI43" s="1544"/>
      <c r="AJ43" s="1783">
        <v>0.245866</v>
      </c>
      <c r="AK43" s="1780"/>
      <c r="AL43" s="1783">
        <f t="shared" si="4"/>
        <v>0.32602400000000009</v>
      </c>
      <c r="AN43" s="1523">
        <f t="shared" si="5"/>
        <v>-327148651</v>
      </c>
      <c r="AP43" s="1523">
        <f t="shared" si="6"/>
        <v>-106658312</v>
      </c>
      <c r="AR43" s="1523">
        <f t="shared" si="7"/>
        <v>-433806963</v>
      </c>
      <c r="AT43" s="1523">
        <f t="shared" si="8"/>
        <v>106658383</v>
      </c>
    </row>
    <row r="44" spans="1:46">
      <c r="B44" s="1781">
        <v>6</v>
      </c>
      <c r="C44" s="1557"/>
      <c r="D44" s="1782" t="s">
        <v>1724</v>
      </c>
      <c r="E44" s="1544"/>
      <c r="F44" s="1547">
        <v>53.2</v>
      </c>
      <c r="H44" s="1523">
        <f t="shared" si="1"/>
        <v>-6475094</v>
      </c>
      <c r="J44" s="1523">
        <f t="shared" ref="J44:J88" si="15">J43-H44</f>
        <v>-302583952</v>
      </c>
      <c r="L44" s="1547">
        <v>18.5</v>
      </c>
      <c r="N44" s="1523">
        <f t="shared" si="2"/>
        <v>-313337</v>
      </c>
      <c r="P44" s="1523">
        <f t="shared" si="9"/>
        <v>-3762999</v>
      </c>
      <c r="R44" s="1547">
        <v>18.5</v>
      </c>
      <c r="T44" s="1523">
        <f t="shared" si="3"/>
        <v>-75415</v>
      </c>
      <c r="V44" s="1523">
        <f t="shared" si="10"/>
        <v>-905690</v>
      </c>
      <c r="X44" s="1547">
        <v>5</v>
      </c>
      <c r="Z44" s="1523">
        <f>ROUND($AB$39/5,0)+1</f>
        <v>-13032164</v>
      </c>
      <c r="AB44" s="1523">
        <f t="shared" si="12"/>
        <v>0</v>
      </c>
      <c r="AD44" s="1523">
        <f t="shared" si="0"/>
        <v>-19896010</v>
      </c>
      <c r="AF44" s="1523">
        <f t="shared" si="13"/>
        <v>-307252641</v>
      </c>
      <c r="AH44" s="1523">
        <f t="shared" si="14"/>
        <v>-317200646</v>
      </c>
      <c r="AI44" s="1544"/>
      <c r="AJ44" s="1783">
        <v>0.245866</v>
      </c>
      <c r="AK44" s="1780"/>
      <c r="AL44" s="1783">
        <f t="shared" si="4"/>
        <v>0.32602400000000009</v>
      </c>
      <c r="AN44" s="1523">
        <f t="shared" si="5"/>
        <v>-307252641</v>
      </c>
      <c r="AP44" s="1523">
        <f t="shared" si="6"/>
        <v>-100171735</v>
      </c>
      <c r="AR44" s="1523">
        <f t="shared" si="7"/>
        <v>-407424376</v>
      </c>
      <c r="AT44" s="1523">
        <f t="shared" si="8"/>
        <v>100171802</v>
      </c>
    </row>
    <row r="45" spans="1:46">
      <c r="B45" s="1781">
        <v>7</v>
      </c>
      <c r="C45" s="1557"/>
      <c r="D45" s="1782" t="s">
        <v>1725</v>
      </c>
      <c r="E45" s="1544"/>
      <c r="F45" s="1547">
        <v>53.2</v>
      </c>
      <c r="H45" s="1523">
        <f t="shared" si="1"/>
        <v>-6475094</v>
      </c>
      <c r="J45" s="1523">
        <f t="shared" si="15"/>
        <v>-296108858</v>
      </c>
      <c r="L45" s="1547">
        <v>18.5</v>
      </c>
      <c r="N45" s="1523">
        <f t="shared" si="2"/>
        <v>-313337</v>
      </c>
      <c r="P45" s="1523">
        <f t="shared" si="9"/>
        <v>-3449662</v>
      </c>
      <c r="R45" s="1547">
        <v>18.5</v>
      </c>
      <c r="T45" s="1523">
        <f t="shared" si="3"/>
        <v>-75415</v>
      </c>
      <c r="V45" s="1523">
        <f t="shared" si="10"/>
        <v>-830275</v>
      </c>
      <c r="X45" s="1547" t="s">
        <v>1804</v>
      </c>
      <c r="Z45" s="1523">
        <v>0</v>
      </c>
      <c r="AB45" s="1523">
        <f t="shared" si="12"/>
        <v>0</v>
      </c>
      <c r="AD45" s="1523">
        <f t="shared" si="0"/>
        <v>-6863846</v>
      </c>
      <c r="AF45" s="1523">
        <f t="shared" si="13"/>
        <v>-300388795</v>
      </c>
      <c r="AH45" s="1523">
        <f t="shared" si="14"/>
        <v>-303820718</v>
      </c>
      <c r="AI45" s="1544"/>
      <c r="AJ45" s="1783">
        <v>0.245866</v>
      </c>
      <c r="AK45" s="1780"/>
      <c r="AL45" s="1783">
        <f t="shared" si="4"/>
        <v>0.32602400000000009</v>
      </c>
      <c r="AN45" s="1523">
        <f t="shared" si="5"/>
        <v>-300388795</v>
      </c>
      <c r="AP45" s="1523">
        <f t="shared" si="6"/>
        <v>-97933957</v>
      </c>
      <c r="AR45" s="1523">
        <f t="shared" si="7"/>
        <v>-398322752</v>
      </c>
      <c r="AT45" s="1523">
        <f t="shared" si="8"/>
        <v>97934022</v>
      </c>
    </row>
    <row r="46" spans="1:46">
      <c r="B46" s="1781">
        <v>8</v>
      </c>
      <c r="C46" s="1557"/>
      <c r="D46" s="1782" t="s">
        <v>1726</v>
      </c>
      <c r="E46" s="1544"/>
      <c r="F46" s="1547">
        <v>53.2</v>
      </c>
      <c r="H46" s="1523">
        <f t="shared" si="1"/>
        <v>-6475094</v>
      </c>
      <c r="J46" s="1523">
        <f t="shared" si="15"/>
        <v>-289633764</v>
      </c>
      <c r="L46" s="1547">
        <v>18.5</v>
      </c>
      <c r="N46" s="1523">
        <f t="shared" si="2"/>
        <v>-313337</v>
      </c>
      <c r="P46" s="1523">
        <f t="shared" si="9"/>
        <v>-3136325</v>
      </c>
      <c r="R46" s="1547">
        <v>18.5</v>
      </c>
      <c r="T46" s="1523">
        <f t="shared" si="3"/>
        <v>-75415</v>
      </c>
      <c r="V46" s="1523">
        <f t="shared" si="10"/>
        <v>-754860</v>
      </c>
      <c r="X46" s="1547" t="s">
        <v>1804</v>
      </c>
      <c r="Z46" s="1523">
        <v>0</v>
      </c>
      <c r="AB46" s="1523">
        <f t="shared" si="12"/>
        <v>0</v>
      </c>
      <c r="AD46" s="1523">
        <f t="shared" si="0"/>
        <v>-6863846</v>
      </c>
      <c r="AF46" s="1523">
        <f t="shared" si="13"/>
        <v>-293524949</v>
      </c>
      <c r="AH46" s="1523">
        <f t="shared" si="14"/>
        <v>-296956872</v>
      </c>
      <c r="AI46" s="1544"/>
      <c r="AJ46" s="1783">
        <v>0.245866</v>
      </c>
      <c r="AK46" s="1780"/>
      <c r="AL46" s="1783">
        <f t="shared" si="4"/>
        <v>0.32602400000000009</v>
      </c>
      <c r="AN46" s="1523">
        <f t="shared" si="5"/>
        <v>-293524949</v>
      </c>
      <c r="AP46" s="1523">
        <f t="shared" si="6"/>
        <v>-95696178</v>
      </c>
      <c r="AR46" s="1523">
        <f t="shared" si="7"/>
        <v>-389221127</v>
      </c>
      <c r="AT46" s="1523">
        <f t="shared" si="8"/>
        <v>95696242</v>
      </c>
    </row>
    <row r="47" spans="1:46">
      <c r="B47" s="1781">
        <v>9</v>
      </c>
      <c r="C47" s="1557"/>
      <c r="D47" s="1782" t="s">
        <v>1727</v>
      </c>
      <c r="E47" s="1544"/>
      <c r="F47" s="1547">
        <v>53.2</v>
      </c>
      <c r="H47" s="1523">
        <f t="shared" si="1"/>
        <v>-6475094</v>
      </c>
      <c r="J47" s="1523">
        <f t="shared" si="15"/>
        <v>-283158670</v>
      </c>
      <c r="L47" s="1547">
        <v>18.5</v>
      </c>
      <c r="N47" s="1523">
        <f t="shared" si="2"/>
        <v>-313337</v>
      </c>
      <c r="P47" s="1523">
        <f t="shared" si="9"/>
        <v>-2822988</v>
      </c>
      <c r="R47" s="1547">
        <v>18.5</v>
      </c>
      <c r="T47" s="1523">
        <f t="shared" si="3"/>
        <v>-75415</v>
      </c>
      <c r="V47" s="1523">
        <f t="shared" si="10"/>
        <v>-679445</v>
      </c>
      <c r="X47" s="1547" t="s">
        <v>1804</v>
      </c>
      <c r="Z47" s="1523">
        <v>0</v>
      </c>
      <c r="AB47" s="1523">
        <f t="shared" si="12"/>
        <v>0</v>
      </c>
      <c r="AD47" s="1523">
        <f t="shared" si="0"/>
        <v>-6863846</v>
      </c>
      <c r="AF47" s="1523">
        <f t="shared" si="13"/>
        <v>-286661103</v>
      </c>
      <c r="AH47" s="1523">
        <f t="shared" si="14"/>
        <v>-290093026</v>
      </c>
      <c r="AI47" s="1544"/>
      <c r="AJ47" s="1783">
        <v>0.245866</v>
      </c>
      <c r="AK47" s="1780"/>
      <c r="AL47" s="1783">
        <f t="shared" si="4"/>
        <v>0.32602400000000009</v>
      </c>
      <c r="AN47" s="1523">
        <f t="shared" si="5"/>
        <v>-286661103</v>
      </c>
      <c r="AP47" s="1523">
        <f t="shared" si="6"/>
        <v>-93458399</v>
      </c>
      <c r="AR47" s="1523">
        <f t="shared" si="7"/>
        <v>-380119502</v>
      </c>
      <c r="AT47" s="1523">
        <f t="shared" si="8"/>
        <v>93458461</v>
      </c>
    </row>
    <row r="48" spans="1:46">
      <c r="B48" s="1781">
        <v>10</v>
      </c>
      <c r="C48" s="1557"/>
      <c r="D48" s="1782" t="s">
        <v>1728</v>
      </c>
      <c r="E48" s="1544"/>
      <c r="F48" s="1547">
        <v>53.2</v>
      </c>
      <c r="H48" s="1523">
        <f t="shared" si="1"/>
        <v>-6475094</v>
      </c>
      <c r="J48" s="1523">
        <f t="shared" si="15"/>
        <v>-276683576</v>
      </c>
      <c r="L48" s="1547">
        <v>18.5</v>
      </c>
      <c r="N48" s="1523">
        <f t="shared" si="2"/>
        <v>-313337</v>
      </c>
      <c r="P48" s="1523">
        <f t="shared" si="9"/>
        <v>-2509651</v>
      </c>
      <c r="R48" s="1547">
        <v>18.5</v>
      </c>
      <c r="T48" s="1523">
        <f t="shared" si="3"/>
        <v>-75415</v>
      </c>
      <c r="V48" s="1523">
        <f t="shared" si="10"/>
        <v>-604030</v>
      </c>
      <c r="X48" s="1547" t="s">
        <v>1804</v>
      </c>
      <c r="Z48" s="1523">
        <v>0</v>
      </c>
      <c r="AB48" s="1523">
        <f t="shared" si="12"/>
        <v>0</v>
      </c>
      <c r="AD48" s="1523">
        <f t="shared" si="0"/>
        <v>-6863846</v>
      </c>
      <c r="AF48" s="1523">
        <f t="shared" si="13"/>
        <v>-279797257</v>
      </c>
      <c r="AH48" s="1523">
        <f t="shared" si="14"/>
        <v>-283229180</v>
      </c>
      <c r="AI48" s="1544"/>
      <c r="AJ48" s="1783">
        <v>0.245866</v>
      </c>
      <c r="AK48" s="1780"/>
      <c r="AL48" s="1783">
        <f t="shared" si="4"/>
        <v>0.32602400000000009</v>
      </c>
      <c r="AN48" s="1523">
        <f t="shared" si="5"/>
        <v>-279797257</v>
      </c>
      <c r="AP48" s="1523">
        <f t="shared" si="6"/>
        <v>-91220621</v>
      </c>
      <c r="AR48" s="1523">
        <f t="shared" si="7"/>
        <v>-371017878</v>
      </c>
      <c r="AT48" s="1523">
        <f t="shared" si="8"/>
        <v>91220682</v>
      </c>
    </row>
    <row r="49" spans="2:46">
      <c r="B49" s="1781">
        <v>11</v>
      </c>
      <c r="C49" s="1557"/>
      <c r="D49" s="1782" t="s">
        <v>1729</v>
      </c>
      <c r="E49" s="1544"/>
      <c r="F49" s="1547">
        <v>53.2</v>
      </c>
      <c r="H49" s="1523">
        <f t="shared" si="1"/>
        <v>-6475094</v>
      </c>
      <c r="J49" s="1523">
        <f t="shared" si="15"/>
        <v>-270208482</v>
      </c>
      <c r="L49" s="1547">
        <v>18.5</v>
      </c>
      <c r="N49" s="1523">
        <f t="shared" si="2"/>
        <v>-313337</v>
      </c>
      <c r="P49" s="1523">
        <f t="shared" si="9"/>
        <v>-2196314</v>
      </c>
      <c r="R49" s="1547">
        <v>18.5</v>
      </c>
      <c r="T49" s="1523">
        <f t="shared" si="3"/>
        <v>-75415</v>
      </c>
      <c r="V49" s="1523">
        <f t="shared" si="10"/>
        <v>-528615</v>
      </c>
      <c r="X49" s="1547" t="s">
        <v>1804</v>
      </c>
      <c r="Z49" s="1523">
        <v>0</v>
      </c>
      <c r="AB49" s="1523">
        <f t="shared" si="12"/>
        <v>0</v>
      </c>
      <c r="AD49" s="1523">
        <f t="shared" si="0"/>
        <v>-6863846</v>
      </c>
      <c r="AF49" s="1523">
        <f t="shared" si="13"/>
        <v>-272933411</v>
      </c>
      <c r="AH49" s="1523">
        <f t="shared" si="14"/>
        <v>-276365334</v>
      </c>
      <c r="AI49" s="1544"/>
      <c r="AJ49" s="1783">
        <v>0.245866</v>
      </c>
      <c r="AK49" s="1780"/>
      <c r="AL49" s="1783">
        <f t="shared" si="4"/>
        <v>0.32602400000000009</v>
      </c>
      <c r="AN49" s="1523">
        <f t="shared" si="5"/>
        <v>-272933411</v>
      </c>
      <c r="AP49" s="1523">
        <f t="shared" si="6"/>
        <v>-88982842</v>
      </c>
      <c r="AR49" s="1523">
        <f t="shared" si="7"/>
        <v>-361916253</v>
      </c>
      <c r="AT49" s="1523">
        <f t="shared" si="8"/>
        <v>88982901</v>
      </c>
    </row>
    <row r="50" spans="2:46">
      <c r="B50" s="1781">
        <v>12</v>
      </c>
      <c r="C50" s="1557"/>
      <c r="D50" s="1782" t="s">
        <v>1730</v>
      </c>
      <c r="E50" s="1544"/>
      <c r="F50" s="1547">
        <v>53.2</v>
      </c>
      <c r="H50" s="1523">
        <f t="shared" si="1"/>
        <v>-6475094</v>
      </c>
      <c r="J50" s="1523">
        <f t="shared" si="15"/>
        <v>-263733388</v>
      </c>
      <c r="L50" s="1547">
        <v>18.5</v>
      </c>
      <c r="N50" s="1523">
        <f t="shared" si="2"/>
        <v>-313337</v>
      </c>
      <c r="P50" s="1523">
        <f t="shared" si="9"/>
        <v>-1882977</v>
      </c>
      <c r="R50" s="1547">
        <v>18.5</v>
      </c>
      <c r="T50" s="1523">
        <f t="shared" si="3"/>
        <v>-75415</v>
      </c>
      <c r="V50" s="1523">
        <f t="shared" si="10"/>
        <v>-453200</v>
      </c>
      <c r="X50" s="1547" t="s">
        <v>1804</v>
      </c>
      <c r="Z50" s="1523">
        <v>0</v>
      </c>
      <c r="AB50" s="1523">
        <f t="shared" si="12"/>
        <v>0</v>
      </c>
      <c r="AD50" s="1523">
        <f t="shared" si="0"/>
        <v>-6863846</v>
      </c>
      <c r="AF50" s="1523">
        <f t="shared" si="13"/>
        <v>-266069565</v>
      </c>
      <c r="AH50" s="1523">
        <f t="shared" si="14"/>
        <v>-269501488</v>
      </c>
      <c r="AI50" s="1544"/>
      <c r="AJ50" s="1783">
        <v>0.245866</v>
      </c>
      <c r="AK50" s="1780"/>
      <c r="AL50" s="1783">
        <f t="shared" si="4"/>
        <v>0.32602400000000009</v>
      </c>
      <c r="AN50" s="1523">
        <f t="shared" si="5"/>
        <v>-266069565</v>
      </c>
      <c r="AP50" s="1523">
        <f t="shared" si="6"/>
        <v>-86745064</v>
      </c>
      <c r="AR50" s="1523">
        <f t="shared" si="7"/>
        <v>-352814629</v>
      </c>
      <c r="AT50" s="1523">
        <f t="shared" si="8"/>
        <v>86745122</v>
      </c>
    </row>
    <row r="51" spans="2:46">
      <c r="B51" s="1781">
        <v>13</v>
      </c>
      <c r="C51" s="1557"/>
      <c r="D51" s="1782" t="s">
        <v>1731</v>
      </c>
      <c r="E51" s="1544"/>
      <c r="F51" s="1547">
        <v>53.2</v>
      </c>
      <c r="H51" s="1523">
        <f t="shared" si="1"/>
        <v>-6475094</v>
      </c>
      <c r="J51" s="1523">
        <f t="shared" si="15"/>
        <v>-257258294</v>
      </c>
      <c r="L51" s="1547">
        <v>18.5</v>
      </c>
      <c r="N51" s="1523">
        <f t="shared" si="2"/>
        <v>-313337</v>
      </c>
      <c r="P51" s="1523">
        <f t="shared" si="9"/>
        <v>-1569640</v>
      </c>
      <c r="R51" s="1547">
        <v>18.5</v>
      </c>
      <c r="T51" s="1523">
        <f t="shared" si="3"/>
        <v>-75415</v>
      </c>
      <c r="V51" s="1523">
        <f t="shared" si="10"/>
        <v>-377785</v>
      </c>
      <c r="X51" s="1547" t="s">
        <v>1804</v>
      </c>
      <c r="Z51" s="1523">
        <v>0</v>
      </c>
      <c r="AB51" s="1523">
        <f t="shared" si="12"/>
        <v>0</v>
      </c>
      <c r="AD51" s="1523">
        <f t="shared" si="0"/>
        <v>-6863846</v>
      </c>
      <c r="AF51" s="1523">
        <f t="shared" si="13"/>
        <v>-259205719</v>
      </c>
      <c r="AH51" s="1523">
        <f t="shared" si="14"/>
        <v>-262637642</v>
      </c>
      <c r="AI51" s="1544"/>
      <c r="AJ51" s="1783">
        <v>0.245866</v>
      </c>
      <c r="AK51" s="1780"/>
      <c r="AL51" s="1783">
        <f t="shared" si="4"/>
        <v>0.32602400000000009</v>
      </c>
      <c r="AN51" s="1523">
        <f t="shared" si="5"/>
        <v>-259205719</v>
      </c>
      <c r="AP51" s="1523">
        <f t="shared" si="6"/>
        <v>-84507285</v>
      </c>
      <c r="AR51" s="1523">
        <f t="shared" si="7"/>
        <v>-343713004</v>
      </c>
      <c r="AT51" s="1523">
        <f t="shared" si="8"/>
        <v>84507341</v>
      </c>
    </row>
    <row r="52" spans="2:46">
      <c r="B52" s="1781">
        <v>14</v>
      </c>
      <c r="C52" s="1557"/>
      <c r="D52" s="1782" t="s">
        <v>1732</v>
      </c>
      <c r="E52" s="1544"/>
      <c r="F52" s="1547">
        <v>53.2</v>
      </c>
      <c r="H52" s="1523">
        <f t="shared" si="1"/>
        <v>-6475094</v>
      </c>
      <c r="J52" s="1523">
        <f t="shared" si="15"/>
        <v>-250783200</v>
      </c>
      <c r="L52" s="1547">
        <v>18.5</v>
      </c>
      <c r="N52" s="1523">
        <f t="shared" si="2"/>
        <v>-313337</v>
      </c>
      <c r="P52" s="1523">
        <f t="shared" si="9"/>
        <v>-1256303</v>
      </c>
      <c r="R52" s="1547">
        <v>18.5</v>
      </c>
      <c r="T52" s="1523">
        <f t="shared" si="3"/>
        <v>-75415</v>
      </c>
      <c r="V52" s="1523">
        <f t="shared" si="10"/>
        <v>-302370</v>
      </c>
      <c r="X52" s="1547" t="s">
        <v>1804</v>
      </c>
      <c r="Z52" s="1523">
        <v>0</v>
      </c>
      <c r="AB52" s="1523">
        <f t="shared" si="12"/>
        <v>0</v>
      </c>
      <c r="AD52" s="1523">
        <f t="shared" si="0"/>
        <v>-6863846</v>
      </c>
      <c r="AF52" s="1523">
        <f t="shared" si="13"/>
        <v>-252341873</v>
      </c>
      <c r="AH52" s="1523">
        <f t="shared" si="14"/>
        <v>-255773796</v>
      </c>
      <c r="AI52" s="1544"/>
      <c r="AJ52" s="1783">
        <v>0.245866</v>
      </c>
      <c r="AK52" s="1780"/>
      <c r="AL52" s="1783">
        <f t="shared" si="4"/>
        <v>0.32602400000000009</v>
      </c>
      <c r="AN52" s="1523">
        <f t="shared" si="5"/>
        <v>-252341873</v>
      </c>
      <c r="AP52" s="1523">
        <f t="shared" si="6"/>
        <v>-82269507</v>
      </c>
      <c r="AR52" s="1523">
        <f t="shared" si="7"/>
        <v>-334611380</v>
      </c>
      <c r="AT52" s="1523">
        <f t="shared" si="8"/>
        <v>82269562</v>
      </c>
    </row>
    <row r="53" spans="2:46">
      <c r="B53" s="1781">
        <v>15</v>
      </c>
      <c r="C53" s="1557"/>
      <c r="D53" s="1782" t="s">
        <v>1733</v>
      </c>
      <c r="E53" s="1544"/>
      <c r="F53" s="1547">
        <v>53.2</v>
      </c>
      <c r="H53" s="1523">
        <f t="shared" si="1"/>
        <v>-6475094</v>
      </c>
      <c r="J53" s="1523">
        <f t="shared" si="15"/>
        <v>-244308106</v>
      </c>
      <c r="L53" s="1547">
        <v>18.5</v>
      </c>
      <c r="N53" s="1523">
        <f t="shared" si="2"/>
        <v>-313337</v>
      </c>
      <c r="P53" s="1523">
        <f t="shared" si="9"/>
        <v>-942966</v>
      </c>
      <c r="R53" s="1547">
        <v>18.5</v>
      </c>
      <c r="T53" s="1523">
        <f t="shared" si="3"/>
        <v>-75415</v>
      </c>
      <c r="V53" s="1523">
        <f t="shared" si="10"/>
        <v>-226955</v>
      </c>
      <c r="X53" s="1547" t="s">
        <v>1804</v>
      </c>
      <c r="Z53" s="1523">
        <v>0</v>
      </c>
      <c r="AB53" s="1523">
        <f t="shared" si="12"/>
        <v>0</v>
      </c>
      <c r="AD53" s="1523">
        <f t="shared" si="0"/>
        <v>-6863846</v>
      </c>
      <c r="AF53" s="1523">
        <f t="shared" si="13"/>
        <v>-245478027</v>
      </c>
      <c r="AH53" s="1523">
        <f t="shared" si="14"/>
        <v>-248909950</v>
      </c>
      <c r="AI53" s="1544"/>
      <c r="AJ53" s="1783">
        <v>0.245866</v>
      </c>
      <c r="AK53" s="1780"/>
      <c r="AL53" s="1783">
        <f t="shared" si="4"/>
        <v>0.32602400000000009</v>
      </c>
      <c r="AN53" s="1523">
        <f t="shared" si="5"/>
        <v>-245478027</v>
      </c>
      <c r="AP53" s="1523">
        <f t="shared" si="6"/>
        <v>-80031728</v>
      </c>
      <c r="AR53" s="1523">
        <f t="shared" si="7"/>
        <v>-325509755</v>
      </c>
      <c r="AT53" s="1523">
        <f t="shared" si="8"/>
        <v>80031781</v>
      </c>
    </row>
    <row r="54" spans="2:46">
      <c r="B54" s="1781">
        <v>16</v>
      </c>
      <c r="C54" s="1557"/>
      <c r="D54" s="1782" t="s">
        <v>1734</v>
      </c>
      <c r="E54" s="1544"/>
      <c r="F54" s="1547">
        <v>53.2</v>
      </c>
      <c r="H54" s="1523">
        <f t="shared" si="1"/>
        <v>-6475094</v>
      </c>
      <c r="J54" s="1523">
        <f t="shared" si="15"/>
        <v>-237833012</v>
      </c>
      <c r="L54" s="1547">
        <v>18.5</v>
      </c>
      <c r="N54" s="1523">
        <f t="shared" si="2"/>
        <v>-313337</v>
      </c>
      <c r="P54" s="1523">
        <f t="shared" si="9"/>
        <v>-629629</v>
      </c>
      <c r="R54" s="1547">
        <v>18.5</v>
      </c>
      <c r="T54" s="1523">
        <f t="shared" si="3"/>
        <v>-75415</v>
      </c>
      <c r="V54" s="1523">
        <f t="shared" si="10"/>
        <v>-151540</v>
      </c>
      <c r="X54" s="1547" t="s">
        <v>1804</v>
      </c>
      <c r="Z54" s="1523">
        <v>0</v>
      </c>
      <c r="AB54" s="1523">
        <f t="shared" si="12"/>
        <v>0</v>
      </c>
      <c r="AD54" s="1523">
        <f t="shared" si="0"/>
        <v>-6863846</v>
      </c>
      <c r="AF54" s="1523">
        <f t="shared" si="13"/>
        <v>-238614181</v>
      </c>
      <c r="AH54" s="1523">
        <f t="shared" si="14"/>
        <v>-242046104</v>
      </c>
      <c r="AI54" s="1544"/>
      <c r="AJ54" s="1783">
        <v>0.245866</v>
      </c>
      <c r="AK54" s="1780"/>
      <c r="AL54" s="1783">
        <f t="shared" si="4"/>
        <v>0.32602400000000009</v>
      </c>
      <c r="AN54" s="1523">
        <f t="shared" si="5"/>
        <v>-238614181</v>
      </c>
      <c r="AP54" s="1523">
        <f t="shared" si="6"/>
        <v>-77793950</v>
      </c>
      <c r="AR54" s="1523">
        <f t="shared" si="7"/>
        <v>-316408131</v>
      </c>
      <c r="AT54" s="1523">
        <f t="shared" si="8"/>
        <v>77794002</v>
      </c>
    </row>
    <row r="55" spans="2:46">
      <c r="B55" s="1781">
        <v>17</v>
      </c>
      <c r="C55" s="1557"/>
      <c r="D55" s="1782" t="s">
        <v>1735</v>
      </c>
      <c r="E55" s="1544"/>
      <c r="F55" s="1547">
        <v>53.2</v>
      </c>
      <c r="H55" s="1523">
        <f t="shared" si="1"/>
        <v>-6475094</v>
      </c>
      <c r="J55" s="1523">
        <f t="shared" si="15"/>
        <v>-231357918</v>
      </c>
      <c r="L55" s="1547">
        <v>18.5</v>
      </c>
      <c r="N55" s="1523">
        <f t="shared" si="2"/>
        <v>-313337</v>
      </c>
      <c r="P55" s="1523">
        <f t="shared" si="9"/>
        <v>-316292</v>
      </c>
      <c r="R55" s="1547">
        <v>18.5</v>
      </c>
      <c r="T55" s="1523">
        <f t="shared" si="3"/>
        <v>-75415</v>
      </c>
      <c r="V55" s="1523">
        <f t="shared" si="10"/>
        <v>-76125</v>
      </c>
      <c r="X55" s="1547" t="s">
        <v>1804</v>
      </c>
      <c r="Z55" s="1523">
        <v>0</v>
      </c>
      <c r="AB55" s="1523">
        <f t="shared" si="12"/>
        <v>0</v>
      </c>
      <c r="AD55" s="1523">
        <f t="shared" si="0"/>
        <v>-6863846</v>
      </c>
      <c r="AF55" s="1523">
        <f t="shared" si="13"/>
        <v>-231750335</v>
      </c>
      <c r="AH55" s="1523">
        <f t="shared" si="14"/>
        <v>-235182258</v>
      </c>
      <c r="AI55" s="1544"/>
      <c r="AJ55" s="1783">
        <v>0.245866</v>
      </c>
      <c r="AK55" s="1780"/>
      <c r="AL55" s="1783">
        <f t="shared" si="4"/>
        <v>0.32602400000000009</v>
      </c>
      <c r="AN55" s="1523">
        <f t="shared" si="5"/>
        <v>-231750335</v>
      </c>
      <c r="AP55" s="1523">
        <f t="shared" si="6"/>
        <v>-75556171</v>
      </c>
      <c r="AR55" s="1523">
        <f t="shared" si="7"/>
        <v>-307306506</v>
      </c>
      <c r="AT55" s="1523">
        <f t="shared" si="8"/>
        <v>75556221</v>
      </c>
    </row>
    <row r="56" spans="2:46">
      <c r="B56" s="1781">
        <v>18</v>
      </c>
      <c r="C56" s="1557"/>
      <c r="D56" s="1782" t="s">
        <v>1736</v>
      </c>
      <c r="E56" s="1544"/>
      <c r="F56" s="1547">
        <v>53.2</v>
      </c>
      <c r="H56" s="1523">
        <f t="shared" si="1"/>
        <v>-6475094</v>
      </c>
      <c r="J56" s="1523">
        <f t="shared" si="15"/>
        <v>-224882824</v>
      </c>
      <c r="L56" s="1547">
        <v>18.5</v>
      </c>
      <c r="N56" s="1523">
        <f t="shared" si="2"/>
        <v>-313337</v>
      </c>
      <c r="P56" s="1523">
        <f t="shared" si="9"/>
        <v>-2955</v>
      </c>
      <c r="R56" s="1547">
        <v>18.5</v>
      </c>
      <c r="T56" s="1523">
        <f t="shared" si="3"/>
        <v>-75415</v>
      </c>
      <c r="V56" s="1523">
        <f t="shared" si="10"/>
        <v>-710</v>
      </c>
      <c r="X56" s="1547" t="s">
        <v>1804</v>
      </c>
      <c r="Z56" s="1523">
        <v>0</v>
      </c>
      <c r="AB56" s="1523">
        <f t="shared" si="12"/>
        <v>0</v>
      </c>
      <c r="AD56" s="1523">
        <f t="shared" si="0"/>
        <v>-6863846</v>
      </c>
      <c r="AF56" s="1523">
        <f t="shared" si="13"/>
        <v>-224886489</v>
      </c>
      <c r="AH56" s="1523">
        <f t="shared" si="14"/>
        <v>-228318412</v>
      </c>
      <c r="AI56" s="1544"/>
      <c r="AJ56" s="1783">
        <v>0.245866</v>
      </c>
      <c r="AK56" s="1780"/>
      <c r="AL56" s="1783">
        <f t="shared" si="4"/>
        <v>0.32602400000000009</v>
      </c>
      <c r="AN56" s="1523">
        <f t="shared" si="5"/>
        <v>-224886489</v>
      </c>
      <c r="AP56" s="1523">
        <f t="shared" si="6"/>
        <v>-73318393</v>
      </c>
      <c r="AR56" s="1523">
        <f t="shared" si="7"/>
        <v>-298204882</v>
      </c>
      <c r="AT56" s="1523">
        <f t="shared" si="8"/>
        <v>73318442</v>
      </c>
    </row>
    <row r="57" spans="2:46">
      <c r="B57" s="1781">
        <v>19</v>
      </c>
      <c r="C57" s="1557"/>
      <c r="D57" s="1782" t="s">
        <v>1737</v>
      </c>
      <c r="E57" s="1544"/>
      <c r="F57" s="1547">
        <v>53.2</v>
      </c>
      <c r="H57" s="1523">
        <f t="shared" si="1"/>
        <v>-6475094</v>
      </c>
      <c r="J57" s="1523">
        <f t="shared" si="15"/>
        <v>-218407730</v>
      </c>
      <c r="L57" s="1548">
        <v>18.5</v>
      </c>
      <c r="N57" s="1523">
        <v>-2955</v>
      </c>
      <c r="P57" s="1523">
        <f t="shared" si="9"/>
        <v>0</v>
      </c>
      <c r="R57" s="1547">
        <v>18.5</v>
      </c>
      <c r="T57" s="1523">
        <v>-710</v>
      </c>
      <c r="V57" s="1523">
        <f t="shared" si="10"/>
        <v>0</v>
      </c>
      <c r="X57" s="1547" t="s">
        <v>1804</v>
      </c>
      <c r="Z57" s="1523">
        <v>0</v>
      </c>
      <c r="AB57" s="1523">
        <f t="shared" si="12"/>
        <v>0</v>
      </c>
      <c r="AD57" s="1523">
        <f t="shared" si="0"/>
        <v>-6478759</v>
      </c>
      <c r="AF57" s="1523">
        <f t="shared" si="13"/>
        <v>-218407730</v>
      </c>
      <c r="AH57" s="1523">
        <f t="shared" si="14"/>
        <v>-221647109.5</v>
      </c>
      <c r="AI57" s="1544"/>
      <c r="AJ57" s="1783">
        <v>0.245866</v>
      </c>
      <c r="AK57" s="1780"/>
      <c r="AL57" s="1783">
        <f t="shared" si="4"/>
        <v>0.32602400000000009</v>
      </c>
      <c r="AN57" s="1523">
        <f t="shared" si="5"/>
        <v>-218407730</v>
      </c>
      <c r="AP57" s="1523">
        <f t="shared" si="6"/>
        <v>-71206162</v>
      </c>
      <c r="AR57" s="1523">
        <f t="shared" si="7"/>
        <v>-289613892</v>
      </c>
      <c r="AT57" s="1523">
        <f t="shared" si="8"/>
        <v>71206209</v>
      </c>
    </row>
    <row r="58" spans="2:46">
      <c r="B58" s="1781">
        <v>20</v>
      </c>
      <c r="C58" s="1557"/>
      <c r="D58" s="1782" t="s">
        <v>1738</v>
      </c>
      <c r="E58" s="1544"/>
      <c r="F58" s="1547">
        <v>53.2</v>
      </c>
      <c r="H58" s="1523">
        <f t="shared" si="1"/>
        <v>-6475094</v>
      </c>
      <c r="J58" s="1523">
        <f t="shared" si="15"/>
        <v>-211932636</v>
      </c>
      <c r="L58" s="1547" t="s">
        <v>1804</v>
      </c>
      <c r="N58" s="1523">
        <v>0</v>
      </c>
      <c r="P58" s="1523">
        <f t="shared" si="9"/>
        <v>0</v>
      </c>
      <c r="R58" s="1547" t="s">
        <v>1804</v>
      </c>
      <c r="T58" s="1523">
        <v>0</v>
      </c>
      <c r="V58" s="1523">
        <f t="shared" si="10"/>
        <v>0</v>
      </c>
      <c r="X58" s="1547" t="s">
        <v>1804</v>
      </c>
      <c r="Z58" s="1523">
        <v>0</v>
      </c>
      <c r="AB58" s="1523">
        <f t="shared" si="12"/>
        <v>0</v>
      </c>
      <c r="AD58" s="1523">
        <f t="shared" si="0"/>
        <v>-6475094</v>
      </c>
      <c r="AF58" s="1523">
        <f t="shared" si="13"/>
        <v>-211932636</v>
      </c>
      <c r="AH58" s="1523">
        <f t="shared" si="14"/>
        <v>-215170183</v>
      </c>
      <c r="AI58" s="1544"/>
      <c r="AJ58" s="1783">
        <v>0.245866</v>
      </c>
      <c r="AK58" s="1780"/>
      <c r="AL58" s="1783">
        <f t="shared" si="4"/>
        <v>0.32602400000000009</v>
      </c>
      <c r="AN58" s="1523">
        <f t="shared" si="5"/>
        <v>-211932636</v>
      </c>
      <c r="AP58" s="1523">
        <f t="shared" si="6"/>
        <v>-69095126</v>
      </c>
      <c r="AR58" s="1523">
        <f t="shared" si="7"/>
        <v>-281027762</v>
      </c>
      <c r="AT58" s="1523">
        <f t="shared" si="8"/>
        <v>69095172</v>
      </c>
    </row>
    <row r="59" spans="2:46">
      <c r="B59" s="1781">
        <v>21</v>
      </c>
      <c r="C59" s="1557"/>
      <c r="D59" s="1782" t="s">
        <v>1739</v>
      </c>
      <c r="E59" s="1544"/>
      <c r="F59" s="1547">
        <v>53.2</v>
      </c>
      <c r="H59" s="1523">
        <f t="shared" si="1"/>
        <v>-6475094</v>
      </c>
      <c r="J59" s="1523">
        <f t="shared" si="15"/>
        <v>-205457542</v>
      </c>
      <c r="L59" s="1547" t="s">
        <v>1804</v>
      </c>
      <c r="N59" s="1523">
        <v>0</v>
      </c>
      <c r="P59" s="1523">
        <f t="shared" si="9"/>
        <v>0</v>
      </c>
      <c r="R59" s="1547" t="s">
        <v>1804</v>
      </c>
      <c r="T59" s="1523">
        <v>0</v>
      </c>
      <c r="V59" s="1523">
        <f t="shared" si="10"/>
        <v>0</v>
      </c>
      <c r="X59" s="1547" t="s">
        <v>1804</v>
      </c>
      <c r="Z59" s="1523">
        <v>0</v>
      </c>
      <c r="AB59" s="1523">
        <f t="shared" si="12"/>
        <v>0</v>
      </c>
      <c r="AD59" s="1523">
        <f t="shared" si="0"/>
        <v>-6475094</v>
      </c>
      <c r="AF59" s="1523">
        <f t="shared" si="13"/>
        <v>-205457542</v>
      </c>
      <c r="AH59" s="1523">
        <f t="shared" si="14"/>
        <v>-208695089</v>
      </c>
      <c r="AI59" s="1544"/>
      <c r="AJ59" s="1783">
        <v>0.245866</v>
      </c>
      <c r="AK59" s="1780"/>
      <c r="AL59" s="1783">
        <f t="shared" si="4"/>
        <v>0.32602400000000009</v>
      </c>
      <c r="AN59" s="1523">
        <f t="shared" si="5"/>
        <v>-205457542</v>
      </c>
      <c r="AP59" s="1523">
        <f t="shared" si="6"/>
        <v>-66984090</v>
      </c>
      <c r="AR59" s="1523">
        <f t="shared" si="7"/>
        <v>-272441632</v>
      </c>
      <c r="AT59" s="1523">
        <f t="shared" si="8"/>
        <v>66984134</v>
      </c>
    </row>
    <row r="60" spans="2:46">
      <c r="B60" s="1781">
        <v>22</v>
      </c>
      <c r="C60" s="1557"/>
      <c r="D60" s="1782" t="s">
        <v>1740</v>
      </c>
      <c r="E60" s="1544"/>
      <c r="F60" s="1547">
        <v>53.2</v>
      </c>
      <c r="H60" s="1523">
        <f t="shared" si="1"/>
        <v>-6475094</v>
      </c>
      <c r="J60" s="1523">
        <f t="shared" si="15"/>
        <v>-198982448</v>
      </c>
      <c r="L60" s="1547" t="s">
        <v>1804</v>
      </c>
      <c r="N60" s="1523">
        <v>0</v>
      </c>
      <c r="P60" s="1523">
        <f t="shared" si="9"/>
        <v>0</v>
      </c>
      <c r="R60" s="1547" t="s">
        <v>1804</v>
      </c>
      <c r="T60" s="1523">
        <v>0</v>
      </c>
      <c r="V60" s="1523">
        <f t="shared" si="10"/>
        <v>0</v>
      </c>
      <c r="X60" s="1547" t="s">
        <v>1804</v>
      </c>
      <c r="Z60" s="1523">
        <v>0</v>
      </c>
      <c r="AB60" s="1523">
        <f t="shared" si="12"/>
        <v>0</v>
      </c>
      <c r="AD60" s="1523">
        <f t="shared" si="0"/>
        <v>-6475094</v>
      </c>
      <c r="AF60" s="1523">
        <f t="shared" si="13"/>
        <v>-198982448</v>
      </c>
      <c r="AH60" s="1523">
        <f t="shared" si="14"/>
        <v>-202219995</v>
      </c>
      <c r="AI60" s="1544"/>
      <c r="AJ60" s="1783">
        <v>0.245866</v>
      </c>
      <c r="AK60" s="1780"/>
      <c r="AL60" s="1783">
        <f t="shared" si="4"/>
        <v>0.32602400000000009</v>
      </c>
      <c r="AN60" s="1523">
        <f t="shared" si="5"/>
        <v>-198982448</v>
      </c>
      <c r="AP60" s="1523">
        <f t="shared" si="6"/>
        <v>-64873054</v>
      </c>
      <c r="AR60" s="1523">
        <f t="shared" si="7"/>
        <v>-263855502</v>
      </c>
      <c r="AT60" s="1523">
        <f t="shared" si="8"/>
        <v>64873097</v>
      </c>
    </row>
    <row r="61" spans="2:46">
      <c r="B61" s="1781">
        <v>23</v>
      </c>
      <c r="C61" s="1557"/>
      <c r="D61" s="1782" t="s">
        <v>1741</v>
      </c>
      <c r="E61" s="1544"/>
      <c r="F61" s="1547">
        <v>53.2</v>
      </c>
      <c r="H61" s="1523">
        <f t="shared" si="1"/>
        <v>-6475094</v>
      </c>
      <c r="J61" s="1523">
        <f t="shared" si="15"/>
        <v>-192507354</v>
      </c>
      <c r="L61" s="1547" t="s">
        <v>1804</v>
      </c>
      <c r="N61" s="1523">
        <v>0</v>
      </c>
      <c r="P61" s="1523">
        <f t="shared" si="9"/>
        <v>0</v>
      </c>
      <c r="R61" s="1547" t="s">
        <v>1804</v>
      </c>
      <c r="T61" s="1523">
        <v>0</v>
      </c>
      <c r="V61" s="1523">
        <f t="shared" si="10"/>
        <v>0</v>
      </c>
      <c r="X61" s="1547" t="s">
        <v>1804</v>
      </c>
      <c r="Z61" s="1523">
        <v>0</v>
      </c>
      <c r="AB61" s="1523">
        <f t="shared" si="12"/>
        <v>0</v>
      </c>
      <c r="AD61" s="1523">
        <f t="shared" si="0"/>
        <v>-6475094</v>
      </c>
      <c r="AF61" s="1523">
        <f t="shared" si="13"/>
        <v>-192507354</v>
      </c>
      <c r="AH61" s="1523">
        <f t="shared" si="14"/>
        <v>-195744901</v>
      </c>
      <c r="AI61" s="1544"/>
      <c r="AJ61" s="1783">
        <v>0.245866</v>
      </c>
      <c r="AK61" s="1780"/>
      <c r="AL61" s="1783">
        <f t="shared" si="4"/>
        <v>0.32602400000000009</v>
      </c>
      <c r="AN61" s="1523">
        <f t="shared" si="5"/>
        <v>-192507354</v>
      </c>
      <c r="AP61" s="1523">
        <f t="shared" si="6"/>
        <v>-62762018</v>
      </c>
      <c r="AR61" s="1523">
        <f t="shared" si="7"/>
        <v>-255269372</v>
      </c>
      <c r="AT61" s="1523">
        <f t="shared" si="8"/>
        <v>62762059</v>
      </c>
    </row>
    <row r="62" spans="2:46">
      <c r="B62" s="1781">
        <v>24</v>
      </c>
      <c r="C62" s="1557"/>
      <c r="D62" s="1782" t="s">
        <v>1742</v>
      </c>
      <c r="E62" s="1544"/>
      <c r="F62" s="1547">
        <v>53.2</v>
      </c>
      <c r="H62" s="1523">
        <f t="shared" si="1"/>
        <v>-6475094</v>
      </c>
      <c r="J62" s="1523">
        <f t="shared" si="15"/>
        <v>-186032260</v>
      </c>
      <c r="L62" s="1547" t="s">
        <v>1804</v>
      </c>
      <c r="N62" s="1523">
        <v>0</v>
      </c>
      <c r="P62" s="1523">
        <f t="shared" si="9"/>
        <v>0</v>
      </c>
      <c r="R62" s="1547" t="s">
        <v>1804</v>
      </c>
      <c r="T62" s="1523">
        <v>0</v>
      </c>
      <c r="V62" s="1523">
        <f t="shared" si="10"/>
        <v>0</v>
      </c>
      <c r="X62" s="1547" t="s">
        <v>1804</v>
      </c>
      <c r="Z62" s="1523">
        <v>0</v>
      </c>
      <c r="AB62" s="1523">
        <f t="shared" si="12"/>
        <v>0</v>
      </c>
      <c r="AD62" s="1523">
        <f t="shared" si="0"/>
        <v>-6475094</v>
      </c>
      <c r="AF62" s="1523">
        <f t="shared" si="13"/>
        <v>-186032260</v>
      </c>
      <c r="AH62" s="1523">
        <f t="shared" si="14"/>
        <v>-189269807</v>
      </c>
      <c r="AI62" s="1544"/>
      <c r="AJ62" s="1783">
        <v>0.245866</v>
      </c>
      <c r="AK62" s="1780"/>
      <c r="AL62" s="1783">
        <f t="shared" si="4"/>
        <v>0.32602400000000009</v>
      </c>
      <c r="AN62" s="1523">
        <f t="shared" si="5"/>
        <v>-186032260</v>
      </c>
      <c r="AP62" s="1523">
        <f t="shared" si="6"/>
        <v>-60650982</v>
      </c>
      <c r="AR62" s="1523">
        <f t="shared" si="7"/>
        <v>-246683242</v>
      </c>
      <c r="AT62" s="1523">
        <f t="shared" si="8"/>
        <v>60651022</v>
      </c>
    </row>
    <row r="63" spans="2:46">
      <c r="B63" s="1781">
        <v>25</v>
      </c>
      <c r="C63" s="1557"/>
      <c r="D63" s="1782" t="s">
        <v>1743</v>
      </c>
      <c r="E63" s="1544"/>
      <c r="F63" s="1547">
        <v>53.2</v>
      </c>
      <c r="H63" s="1523">
        <f t="shared" si="1"/>
        <v>-6475094</v>
      </c>
      <c r="J63" s="1523">
        <f t="shared" si="15"/>
        <v>-179557166</v>
      </c>
      <c r="L63" s="1547" t="s">
        <v>1804</v>
      </c>
      <c r="N63" s="1523">
        <v>0</v>
      </c>
      <c r="P63" s="1523">
        <f t="shared" si="9"/>
        <v>0</v>
      </c>
      <c r="R63" s="1547" t="s">
        <v>1804</v>
      </c>
      <c r="T63" s="1523">
        <v>0</v>
      </c>
      <c r="V63" s="1523">
        <f t="shared" si="10"/>
        <v>0</v>
      </c>
      <c r="X63" s="1547" t="s">
        <v>1804</v>
      </c>
      <c r="Z63" s="1523">
        <v>0</v>
      </c>
      <c r="AB63" s="1523">
        <f t="shared" si="12"/>
        <v>0</v>
      </c>
      <c r="AD63" s="1523">
        <f t="shared" si="0"/>
        <v>-6475094</v>
      </c>
      <c r="AF63" s="1523">
        <f t="shared" si="13"/>
        <v>-179557166</v>
      </c>
      <c r="AH63" s="1523">
        <f t="shared" si="14"/>
        <v>-182794713</v>
      </c>
      <c r="AI63" s="1544"/>
      <c r="AJ63" s="1783">
        <v>0.245866</v>
      </c>
      <c r="AK63" s="1780"/>
      <c r="AL63" s="1783">
        <f t="shared" si="4"/>
        <v>0.32602400000000009</v>
      </c>
      <c r="AN63" s="1523">
        <f t="shared" si="5"/>
        <v>-179557166</v>
      </c>
      <c r="AP63" s="1523">
        <f t="shared" si="6"/>
        <v>-58539945</v>
      </c>
      <c r="AR63" s="1523">
        <f t="shared" si="7"/>
        <v>-238097111</v>
      </c>
      <c r="AT63" s="1523">
        <f t="shared" si="8"/>
        <v>58539984</v>
      </c>
    </row>
    <row r="64" spans="2:46">
      <c r="B64" s="1781">
        <v>26</v>
      </c>
      <c r="C64" s="1557"/>
      <c r="D64" s="1782" t="s">
        <v>1744</v>
      </c>
      <c r="E64" s="1544"/>
      <c r="F64" s="1547">
        <v>53.2</v>
      </c>
      <c r="H64" s="1523">
        <f t="shared" si="1"/>
        <v>-6475094</v>
      </c>
      <c r="J64" s="1523">
        <f t="shared" si="15"/>
        <v>-173082072</v>
      </c>
      <c r="L64" s="1547" t="s">
        <v>1804</v>
      </c>
      <c r="N64" s="1523">
        <v>0</v>
      </c>
      <c r="P64" s="1523">
        <f t="shared" si="9"/>
        <v>0</v>
      </c>
      <c r="R64" s="1547" t="s">
        <v>1804</v>
      </c>
      <c r="T64" s="1523">
        <v>0</v>
      </c>
      <c r="V64" s="1523">
        <f t="shared" si="10"/>
        <v>0</v>
      </c>
      <c r="X64" s="1547" t="s">
        <v>1804</v>
      </c>
      <c r="Z64" s="1523">
        <v>0</v>
      </c>
      <c r="AB64" s="1523">
        <f t="shared" si="12"/>
        <v>0</v>
      </c>
      <c r="AD64" s="1523">
        <f t="shared" si="0"/>
        <v>-6475094</v>
      </c>
      <c r="AF64" s="1523">
        <f t="shared" si="13"/>
        <v>-173082072</v>
      </c>
      <c r="AH64" s="1523">
        <f t="shared" si="14"/>
        <v>-176319619</v>
      </c>
      <c r="AI64" s="1544"/>
      <c r="AJ64" s="1783">
        <v>0.245866</v>
      </c>
      <c r="AK64" s="1780"/>
      <c r="AL64" s="1783">
        <f t="shared" si="4"/>
        <v>0.32602400000000009</v>
      </c>
      <c r="AN64" s="1523">
        <f t="shared" si="5"/>
        <v>-173082072</v>
      </c>
      <c r="AP64" s="1523">
        <f t="shared" si="6"/>
        <v>-56428909</v>
      </c>
      <c r="AR64" s="1523">
        <f t="shared" si="7"/>
        <v>-229510981</v>
      </c>
      <c r="AT64" s="1523">
        <f t="shared" si="8"/>
        <v>56428947</v>
      </c>
    </row>
    <row r="65" spans="2:46">
      <c r="B65" s="1781">
        <v>27</v>
      </c>
      <c r="C65" s="1557"/>
      <c r="D65" s="1782" t="s">
        <v>1745</v>
      </c>
      <c r="E65" s="1544"/>
      <c r="F65" s="1547">
        <v>53.2</v>
      </c>
      <c r="H65" s="1523">
        <f t="shared" si="1"/>
        <v>-6475094</v>
      </c>
      <c r="J65" s="1523">
        <f t="shared" si="15"/>
        <v>-166606978</v>
      </c>
      <c r="L65" s="1547" t="s">
        <v>1804</v>
      </c>
      <c r="N65" s="1523">
        <v>0</v>
      </c>
      <c r="P65" s="1523">
        <f t="shared" si="9"/>
        <v>0</v>
      </c>
      <c r="R65" s="1547" t="s">
        <v>1804</v>
      </c>
      <c r="T65" s="1523">
        <v>0</v>
      </c>
      <c r="V65" s="1523">
        <f t="shared" si="10"/>
        <v>0</v>
      </c>
      <c r="X65" s="1547" t="s">
        <v>1804</v>
      </c>
      <c r="Z65" s="1523">
        <v>0</v>
      </c>
      <c r="AB65" s="1523">
        <f t="shared" si="12"/>
        <v>0</v>
      </c>
      <c r="AD65" s="1523">
        <f t="shared" si="0"/>
        <v>-6475094</v>
      </c>
      <c r="AF65" s="1523">
        <f t="shared" si="13"/>
        <v>-166606978</v>
      </c>
      <c r="AH65" s="1523">
        <f t="shared" si="14"/>
        <v>-169844525</v>
      </c>
      <c r="AI65" s="1544"/>
      <c r="AJ65" s="1783">
        <v>0.245866</v>
      </c>
      <c r="AK65" s="1780"/>
      <c r="AL65" s="1783">
        <f t="shared" si="4"/>
        <v>0.32602400000000009</v>
      </c>
      <c r="AN65" s="1523">
        <f t="shared" si="5"/>
        <v>-166606978</v>
      </c>
      <c r="AP65" s="1523">
        <f t="shared" si="6"/>
        <v>-54317873</v>
      </c>
      <c r="AR65" s="1523">
        <f t="shared" si="7"/>
        <v>-220924851</v>
      </c>
      <c r="AT65" s="1523">
        <f t="shared" si="8"/>
        <v>54317909</v>
      </c>
    </row>
    <row r="66" spans="2:46">
      <c r="B66" s="1781">
        <v>28</v>
      </c>
      <c r="C66" s="1557"/>
      <c r="D66" s="1782" t="s">
        <v>1746</v>
      </c>
      <c r="E66" s="1544"/>
      <c r="F66" s="1547">
        <v>53.2</v>
      </c>
      <c r="H66" s="1523">
        <f t="shared" si="1"/>
        <v>-6475094</v>
      </c>
      <c r="J66" s="1523">
        <f t="shared" si="15"/>
        <v>-160131884</v>
      </c>
      <c r="L66" s="1547" t="s">
        <v>1804</v>
      </c>
      <c r="N66" s="1523">
        <v>0</v>
      </c>
      <c r="P66" s="1523">
        <f t="shared" si="9"/>
        <v>0</v>
      </c>
      <c r="R66" s="1547" t="s">
        <v>1804</v>
      </c>
      <c r="T66" s="1523">
        <v>0</v>
      </c>
      <c r="V66" s="1523">
        <f t="shared" si="10"/>
        <v>0</v>
      </c>
      <c r="X66" s="1547" t="s">
        <v>1804</v>
      </c>
      <c r="Z66" s="1523">
        <v>0</v>
      </c>
      <c r="AB66" s="1523">
        <f t="shared" si="12"/>
        <v>0</v>
      </c>
      <c r="AD66" s="1523">
        <f t="shared" si="0"/>
        <v>-6475094</v>
      </c>
      <c r="AF66" s="1523">
        <f t="shared" si="13"/>
        <v>-160131884</v>
      </c>
      <c r="AH66" s="1523">
        <f t="shared" si="14"/>
        <v>-163369431</v>
      </c>
      <c r="AI66" s="1544"/>
      <c r="AJ66" s="1783">
        <v>0.245866</v>
      </c>
      <c r="AK66" s="1780"/>
      <c r="AL66" s="1783">
        <f t="shared" si="4"/>
        <v>0.32602400000000009</v>
      </c>
      <c r="AN66" s="1523">
        <f t="shared" si="5"/>
        <v>-160131884</v>
      </c>
      <c r="AP66" s="1523">
        <f t="shared" si="6"/>
        <v>-52206837</v>
      </c>
      <c r="AR66" s="1523">
        <f t="shared" si="7"/>
        <v>-212338721</v>
      </c>
      <c r="AT66" s="1523">
        <f t="shared" si="8"/>
        <v>52206872</v>
      </c>
    </row>
    <row r="67" spans="2:46">
      <c r="B67" s="1781">
        <v>29</v>
      </c>
      <c r="C67" s="1557"/>
      <c r="D67" s="1782" t="s">
        <v>1747</v>
      </c>
      <c r="E67" s="1544"/>
      <c r="F67" s="1547">
        <v>53.2</v>
      </c>
      <c r="H67" s="1523">
        <f t="shared" si="1"/>
        <v>-6475094</v>
      </c>
      <c r="J67" s="1523">
        <f t="shared" si="15"/>
        <v>-153656790</v>
      </c>
      <c r="L67" s="1547" t="s">
        <v>1804</v>
      </c>
      <c r="N67" s="1523">
        <v>0</v>
      </c>
      <c r="P67" s="1523">
        <f t="shared" si="9"/>
        <v>0</v>
      </c>
      <c r="R67" s="1547" t="s">
        <v>1804</v>
      </c>
      <c r="T67" s="1523">
        <v>0</v>
      </c>
      <c r="V67" s="1523">
        <f t="shared" si="10"/>
        <v>0</v>
      </c>
      <c r="X67" s="1547" t="s">
        <v>1804</v>
      </c>
      <c r="Z67" s="1523">
        <v>0</v>
      </c>
      <c r="AB67" s="1523">
        <f t="shared" si="12"/>
        <v>0</v>
      </c>
      <c r="AD67" s="1523">
        <f t="shared" si="0"/>
        <v>-6475094</v>
      </c>
      <c r="AF67" s="1523">
        <f t="shared" si="13"/>
        <v>-153656790</v>
      </c>
      <c r="AH67" s="1523">
        <f t="shared" si="14"/>
        <v>-156894337</v>
      </c>
      <c r="AI67" s="1544"/>
      <c r="AJ67" s="1783">
        <v>0.245866</v>
      </c>
      <c r="AK67" s="1780"/>
      <c r="AL67" s="1783">
        <f t="shared" si="4"/>
        <v>0.32602400000000009</v>
      </c>
      <c r="AN67" s="1523">
        <f t="shared" si="5"/>
        <v>-153656790</v>
      </c>
      <c r="AP67" s="1523">
        <f t="shared" si="6"/>
        <v>-50095801</v>
      </c>
      <c r="AR67" s="1523">
        <f t="shared" si="7"/>
        <v>-203752591</v>
      </c>
      <c r="AT67" s="1523">
        <f t="shared" si="8"/>
        <v>50095835</v>
      </c>
    </row>
    <row r="68" spans="2:46">
      <c r="B68" s="1781">
        <v>30</v>
      </c>
      <c r="C68" s="1557"/>
      <c r="D68" s="1782" t="s">
        <v>1748</v>
      </c>
      <c r="E68" s="1544"/>
      <c r="F68" s="1547">
        <v>53.2</v>
      </c>
      <c r="H68" s="1523">
        <f t="shared" si="1"/>
        <v>-6475094</v>
      </c>
      <c r="J68" s="1523">
        <f t="shared" si="15"/>
        <v>-147181696</v>
      </c>
      <c r="L68" s="1547" t="s">
        <v>1804</v>
      </c>
      <c r="N68" s="1523">
        <v>0</v>
      </c>
      <c r="P68" s="1523">
        <f t="shared" si="9"/>
        <v>0</v>
      </c>
      <c r="R68" s="1547" t="s">
        <v>1804</v>
      </c>
      <c r="T68" s="1523">
        <v>0</v>
      </c>
      <c r="V68" s="1523">
        <f t="shared" si="10"/>
        <v>0</v>
      </c>
      <c r="X68" s="1547" t="s">
        <v>1804</v>
      </c>
      <c r="Z68" s="1523">
        <v>0</v>
      </c>
      <c r="AB68" s="1523">
        <f t="shared" si="12"/>
        <v>0</v>
      </c>
      <c r="AD68" s="1523">
        <f t="shared" si="0"/>
        <v>-6475094</v>
      </c>
      <c r="AF68" s="1523">
        <f t="shared" si="13"/>
        <v>-147181696</v>
      </c>
      <c r="AH68" s="1523">
        <f t="shared" si="14"/>
        <v>-150419243</v>
      </c>
      <c r="AI68" s="1544"/>
      <c r="AJ68" s="1783">
        <v>0.245866</v>
      </c>
      <c r="AK68" s="1780"/>
      <c r="AL68" s="1783">
        <f t="shared" si="4"/>
        <v>0.32602400000000009</v>
      </c>
      <c r="AN68" s="1523">
        <f t="shared" si="5"/>
        <v>-147181696</v>
      </c>
      <c r="AP68" s="1523">
        <f t="shared" si="6"/>
        <v>-47984765</v>
      </c>
      <c r="AR68" s="1523">
        <f t="shared" si="7"/>
        <v>-195166461</v>
      </c>
      <c r="AT68" s="1523">
        <f t="shared" si="8"/>
        <v>47984797</v>
      </c>
    </row>
    <row r="69" spans="2:46">
      <c r="B69" s="1781">
        <v>31</v>
      </c>
      <c r="C69" s="1557"/>
      <c r="D69" s="1782" t="s">
        <v>1749</v>
      </c>
      <c r="E69" s="1544"/>
      <c r="F69" s="1547">
        <v>53.2</v>
      </c>
      <c r="H69" s="1523">
        <f t="shared" si="1"/>
        <v>-6475094</v>
      </c>
      <c r="J69" s="1523">
        <f t="shared" si="15"/>
        <v>-140706602</v>
      </c>
      <c r="L69" s="1547" t="s">
        <v>1804</v>
      </c>
      <c r="N69" s="1523">
        <v>0</v>
      </c>
      <c r="P69" s="1523">
        <f t="shared" si="9"/>
        <v>0</v>
      </c>
      <c r="R69" s="1547" t="s">
        <v>1804</v>
      </c>
      <c r="T69" s="1523">
        <v>0</v>
      </c>
      <c r="V69" s="1523">
        <f t="shared" si="10"/>
        <v>0</v>
      </c>
      <c r="X69" s="1547" t="s">
        <v>1804</v>
      </c>
      <c r="Z69" s="1523">
        <v>0</v>
      </c>
      <c r="AB69" s="1523">
        <f t="shared" si="12"/>
        <v>0</v>
      </c>
      <c r="AD69" s="1523">
        <f t="shared" si="0"/>
        <v>-6475094</v>
      </c>
      <c r="AF69" s="1523">
        <f t="shared" si="13"/>
        <v>-140706602</v>
      </c>
      <c r="AH69" s="1523">
        <f t="shared" si="14"/>
        <v>-143944149</v>
      </c>
      <c r="AI69" s="1544"/>
      <c r="AJ69" s="1783">
        <v>0.245866</v>
      </c>
      <c r="AK69" s="1780"/>
      <c r="AL69" s="1783">
        <f t="shared" si="4"/>
        <v>0.32602400000000009</v>
      </c>
      <c r="AN69" s="1523">
        <f t="shared" si="5"/>
        <v>-140706602</v>
      </c>
      <c r="AP69" s="1523">
        <f t="shared" si="6"/>
        <v>-45873729</v>
      </c>
      <c r="AR69" s="1523">
        <f t="shared" si="7"/>
        <v>-186580331</v>
      </c>
      <c r="AT69" s="1523">
        <f t="shared" si="8"/>
        <v>45873760</v>
      </c>
    </row>
    <row r="70" spans="2:46">
      <c r="B70" s="1781">
        <v>32</v>
      </c>
      <c r="C70" s="1557"/>
      <c r="D70" s="1782" t="s">
        <v>1750</v>
      </c>
      <c r="E70" s="1544"/>
      <c r="F70" s="1547">
        <v>53.2</v>
      </c>
      <c r="H70" s="1523">
        <f t="shared" si="1"/>
        <v>-6475094</v>
      </c>
      <c r="J70" s="1523">
        <f t="shared" si="15"/>
        <v>-134231508</v>
      </c>
      <c r="L70" s="1547" t="s">
        <v>1804</v>
      </c>
      <c r="N70" s="1523">
        <v>0</v>
      </c>
      <c r="P70" s="1523">
        <f t="shared" si="9"/>
        <v>0</v>
      </c>
      <c r="R70" s="1547" t="s">
        <v>1804</v>
      </c>
      <c r="T70" s="1523">
        <v>0</v>
      </c>
      <c r="V70" s="1523">
        <f t="shared" si="10"/>
        <v>0</v>
      </c>
      <c r="X70" s="1547" t="s">
        <v>1804</v>
      </c>
      <c r="Z70" s="1523">
        <v>0</v>
      </c>
      <c r="AB70" s="1523">
        <f t="shared" si="12"/>
        <v>0</v>
      </c>
      <c r="AD70" s="1523">
        <f t="shared" si="0"/>
        <v>-6475094</v>
      </c>
      <c r="AF70" s="1523">
        <f t="shared" si="13"/>
        <v>-134231508</v>
      </c>
      <c r="AH70" s="1523">
        <f t="shared" si="14"/>
        <v>-137469055</v>
      </c>
      <c r="AI70" s="1544"/>
      <c r="AJ70" s="1783">
        <v>0.245866</v>
      </c>
      <c r="AK70" s="1780"/>
      <c r="AL70" s="1783">
        <f t="shared" si="4"/>
        <v>0.32602400000000009</v>
      </c>
      <c r="AN70" s="1523">
        <f t="shared" si="5"/>
        <v>-134231508</v>
      </c>
      <c r="AP70" s="1523">
        <f t="shared" si="6"/>
        <v>-43762693</v>
      </c>
      <c r="AR70" s="1523">
        <f t="shared" si="7"/>
        <v>-177994201</v>
      </c>
      <c r="AT70" s="1523">
        <f t="shared" si="8"/>
        <v>43762722</v>
      </c>
    </row>
    <row r="71" spans="2:46">
      <c r="B71" s="1781">
        <v>33</v>
      </c>
      <c r="C71" s="1557"/>
      <c r="D71" s="1782" t="s">
        <v>1751</v>
      </c>
      <c r="E71" s="1544"/>
      <c r="F71" s="1547">
        <v>53.2</v>
      </c>
      <c r="H71" s="1523">
        <f t="shared" si="1"/>
        <v>-6475094</v>
      </c>
      <c r="J71" s="1523">
        <f t="shared" si="15"/>
        <v>-127756414</v>
      </c>
      <c r="L71" s="1547" t="s">
        <v>1804</v>
      </c>
      <c r="N71" s="1523">
        <v>0</v>
      </c>
      <c r="P71" s="1523">
        <f t="shared" si="9"/>
        <v>0</v>
      </c>
      <c r="R71" s="1547" t="s">
        <v>1804</v>
      </c>
      <c r="T71" s="1523">
        <v>0</v>
      </c>
      <c r="V71" s="1523">
        <f t="shared" si="10"/>
        <v>0</v>
      </c>
      <c r="X71" s="1547" t="s">
        <v>1804</v>
      </c>
      <c r="Z71" s="1523">
        <v>0</v>
      </c>
      <c r="AB71" s="1523">
        <f t="shared" si="12"/>
        <v>0</v>
      </c>
      <c r="AD71" s="1523">
        <f t="shared" si="0"/>
        <v>-6475094</v>
      </c>
      <c r="AF71" s="1523">
        <f t="shared" si="13"/>
        <v>-127756414</v>
      </c>
      <c r="AH71" s="1523">
        <f t="shared" si="14"/>
        <v>-130993961</v>
      </c>
      <c r="AI71" s="1544"/>
      <c r="AJ71" s="1783">
        <v>0.245866</v>
      </c>
      <c r="AK71" s="1780"/>
      <c r="AL71" s="1783">
        <f t="shared" si="4"/>
        <v>0.32602400000000009</v>
      </c>
      <c r="AN71" s="1523">
        <f t="shared" si="5"/>
        <v>-127756414</v>
      </c>
      <c r="AP71" s="1523">
        <f t="shared" si="6"/>
        <v>-41651657</v>
      </c>
      <c r="AR71" s="1523">
        <f t="shared" si="7"/>
        <v>-169408071</v>
      </c>
      <c r="AT71" s="1523">
        <f t="shared" si="8"/>
        <v>41651685</v>
      </c>
    </row>
    <row r="72" spans="2:46">
      <c r="B72" s="1781">
        <v>34</v>
      </c>
      <c r="C72" s="1557"/>
      <c r="D72" s="1782" t="s">
        <v>1752</v>
      </c>
      <c r="E72" s="1544"/>
      <c r="F72" s="1547">
        <v>53.2</v>
      </c>
      <c r="H72" s="1523">
        <f t="shared" si="1"/>
        <v>-6475094</v>
      </c>
      <c r="J72" s="1523">
        <f t="shared" si="15"/>
        <v>-121281320</v>
      </c>
      <c r="L72" s="1547" t="s">
        <v>1804</v>
      </c>
      <c r="N72" s="1523">
        <v>0</v>
      </c>
      <c r="P72" s="1523">
        <f t="shared" si="9"/>
        <v>0</v>
      </c>
      <c r="R72" s="1547" t="s">
        <v>1804</v>
      </c>
      <c r="T72" s="1523">
        <v>0</v>
      </c>
      <c r="V72" s="1523">
        <f t="shared" si="10"/>
        <v>0</v>
      </c>
      <c r="X72" s="1547" t="s">
        <v>1804</v>
      </c>
      <c r="Z72" s="1523">
        <v>0</v>
      </c>
      <c r="AB72" s="1523">
        <f t="shared" si="12"/>
        <v>0</v>
      </c>
      <c r="AD72" s="1523">
        <f t="shared" si="0"/>
        <v>-6475094</v>
      </c>
      <c r="AF72" s="1523">
        <f t="shared" si="13"/>
        <v>-121281320</v>
      </c>
      <c r="AH72" s="1523">
        <f t="shared" si="14"/>
        <v>-124518867</v>
      </c>
      <c r="AI72" s="1544"/>
      <c r="AJ72" s="1783">
        <v>0.245866</v>
      </c>
      <c r="AK72" s="1780"/>
      <c r="AL72" s="1783">
        <f t="shared" si="4"/>
        <v>0.32602400000000009</v>
      </c>
      <c r="AN72" s="1523">
        <f t="shared" si="5"/>
        <v>-121281320</v>
      </c>
      <c r="AP72" s="1523">
        <f t="shared" si="6"/>
        <v>-39540621</v>
      </c>
      <c r="AR72" s="1523">
        <f t="shared" si="7"/>
        <v>-160821941</v>
      </c>
      <c r="AT72" s="1523">
        <f t="shared" si="8"/>
        <v>39540647</v>
      </c>
    </row>
    <row r="73" spans="2:46">
      <c r="B73" s="1781">
        <v>35</v>
      </c>
      <c r="C73" s="1557"/>
      <c r="D73" s="1782" t="s">
        <v>1753</v>
      </c>
      <c r="E73" s="1544"/>
      <c r="F73" s="1547">
        <v>53.2</v>
      </c>
      <c r="H73" s="1523">
        <f t="shared" si="1"/>
        <v>-6475094</v>
      </c>
      <c r="J73" s="1523">
        <f t="shared" si="15"/>
        <v>-114806226</v>
      </c>
      <c r="L73" s="1547" t="s">
        <v>1804</v>
      </c>
      <c r="N73" s="1523">
        <v>0</v>
      </c>
      <c r="P73" s="1523">
        <f t="shared" si="9"/>
        <v>0</v>
      </c>
      <c r="R73" s="1547" t="s">
        <v>1804</v>
      </c>
      <c r="T73" s="1523">
        <v>0</v>
      </c>
      <c r="V73" s="1523">
        <f t="shared" si="10"/>
        <v>0</v>
      </c>
      <c r="X73" s="1547" t="s">
        <v>1804</v>
      </c>
      <c r="Z73" s="1523">
        <v>0</v>
      </c>
      <c r="AB73" s="1523">
        <f t="shared" si="12"/>
        <v>0</v>
      </c>
      <c r="AD73" s="1523">
        <f t="shared" si="0"/>
        <v>-6475094</v>
      </c>
      <c r="AF73" s="1523">
        <f t="shared" si="13"/>
        <v>-114806226</v>
      </c>
      <c r="AH73" s="1523">
        <f t="shared" si="14"/>
        <v>-118043773</v>
      </c>
      <c r="AI73" s="1544"/>
      <c r="AJ73" s="1783">
        <v>0.245866</v>
      </c>
      <c r="AK73" s="1780"/>
      <c r="AL73" s="1783">
        <f t="shared" si="4"/>
        <v>0.32602400000000009</v>
      </c>
      <c r="AN73" s="1523">
        <f t="shared" si="5"/>
        <v>-114806226</v>
      </c>
      <c r="AP73" s="1523">
        <f t="shared" si="6"/>
        <v>-37429585</v>
      </c>
      <c r="AR73" s="1523">
        <f t="shared" si="7"/>
        <v>-152235811</v>
      </c>
      <c r="AT73" s="1523">
        <f t="shared" si="8"/>
        <v>37429610</v>
      </c>
    </row>
    <row r="74" spans="2:46">
      <c r="B74" s="1781">
        <v>36</v>
      </c>
      <c r="C74" s="1557"/>
      <c r="D74" s="1782" t="s">
        <v>1754</v>
      </c>
      <c r="E74" s="1544"/>
      <c r="F74" s="1547">
        <v>53.2</v>
      </c>
      <c r="H74" s="1523">
        <f t="shared" si="1"/>
        <v>-6475094</v>
      </c>
      <c r="J74" s="1523">
        <f t="shared" si="15"/>
        <v>-108331132</v>
      </c>
      <c r="L74" s="1547" t="s">
        <v>1804</v>
      </c>
      <c r="N74" s="1523">
        <v>0</v>
      </c>
      <c r="P74" s="1523">
        <f t="shared" si="9"/>
        <v>0</v>
      </c>
      <c r="R74" s="1547" t="s">
        <v>1804</v>
      </c>
      <c r="T74" s="1523">
        <v>0</v>
      </c>
      <c r="V74" s="1523">
        <f t="shared" si="10"/>
        <v>0</v>
      </c>
      <c r="X74" s="1547" t="s">
        <v>1804</v>
      </c>
      <c r="Z74" s="1523">
        <v>0</v>
      </c>
      <c r="AB74" s="1523">
        <f t="shared" si="12"/>
        <v>0</v>
      </c>
      <c r="AD74" s="1523">
        <f t="shared" si="0"/>
        <v>-6475094</v>
      </c>
      <c r="AF74" s="1523">
        <f t="shared" si="13"/>
        <v>-108331132</v>
      </c>
      <c r="AH74" s="1523">
        <f t="shared" si="14"/>
        <v>-111568679</v>
      </c>
      <c r="AI74" s="1544"/>
      <c r="AJ74" s="1783">
        <v>0.245866</v>
      </c>
      <c r="AK74" s="1780"/>
      <c r="AL74" s="1783">
        <f t="shared" si="4"/>
        <v>0.32602400000000009</v>
      </c>
      <c r="AN74" s="1523">
        <f t="shared" si="5"/>
        <v>-108331132</v>
      </c>
      <c r="AP74" s="1523">
        <f t="shared" si="6"/>
        <v>-35318549</v>
      </c>
      <c r="AR74" s="1523">
        <f t="shared" si="7"/>
        <v>-143649681</v>
      </c>
      <c r="AT74" s="1523">
        <f t="shared" si="8"/>
        <v>35318572</v>
      </c>
    </row>
    <row r="75" spans="2:46">
      <c r="B75" s="1781">
        <v>37</v>
      </c>
      <c r="C75" s="1557"/>
      <c r="D75" s="1782" t="s">
        <v>1755</v>
      </c>
      <c r="E75" s="1544"/>
      <c r="F75" s="1547">
        <v>53.2</v>
      </c>
      <c r="H75" s="1523">
        <f t="shared" si="1"/>
        <v>-6475094</v>
      </c>
      <c r="J75" s="1523">
        <f t="shared" si="15"/>
        <v>-101856038</v>
      </c>
      <c r="L75" s="1547" t="s">
        <v>1804</v>
      </c>
      <c r="N75" s="1523">
        <v>0</v>
      </c>
      <c r="P75" s="1523">
        <f t="shared" si="9"/>
        <v>0</v>
      </c>
      <c r="R75" s="1547" t="s">
        <v>1804</v>
      </c>
      <c r="T75" s="1523">
        <v>0</v>
      </c>
      <c r="V75" s="1523">
        <f t="shared" si="10"/>
        <v>0</v>
      </c>
      <c r="X75" s="1547" t="s">
        <v>1804</v>
      </c>
      <c r="Z75" s="1523">
        <v>0</v>
      </c>
      <c r="AB75" s="1523">
        <f t="shared" si="12"/>
        <v>0</v>
      </c>
      <c r="AD75" s="1523">
        <f t="shared" si="0"/>
        <v>-6475094</v>
      </c>
      <c r="AF75" s="1523">
        <f t="shared" si="13"/>
        <v>-101856038</v>
      </c>
      <c r="AH75" s="1523">
        <f t="shared" si="14"/>
        <v>-105093585</v>
      </c>
      <c r="AI75" s="1544"/>
      <c r="AJ75" s="1783">
        <v>0.245866</v>
      </c>
      <c r="AK75" s="1780"/>
      <c r="AL75" s="1783">
        <f t="shared" si="4"/>
        <v>0.32602400000000009</v>
      </c>
      <c r="AN75" s="1523">
        <f t="shared" si="5"/>
        <v>-101856038</v>
      </c>
      <c r="AP75" s="1523">
        <f t="shared" si="6"/>
        <v>-33207513</v>
      </c>
      <c r="AR75" s="1523">
        <f t="shared" si="7"/>
        <v>-135063551</v>
      </c>
      <c r="AT75" s="1523">
        <f t="shared" si="8"/>
        <v>33207535</v>
      </c>
    </row>
    <row r="76" spans="2:46">
      <c r="B76" s="1781">
        <v>38</v>
      </c>
      <c r="C76" s="1557"/>
      <c r="D76" s="1782" t="s">
        <v>1756</v>
      </c>
      <c r="E76" s="1544"/>
      <c r="F76" s="1547">
        <v>53.2</v>
      </c>
      <c r="H76" s="1523">
        <f t="shared" si="1"/>
        <v>-6475094</v>
      </c>
      <c r="J76" s="1523">
        <f t="shared" si="15"/>
        <v>-95380944</v>
      </c>
      <c r="L76" s="1547" t="s">
        <v>1804</v>
      </c>
      <c r="N76" s="1523">
        <v>0</v>
      </c>
      <c r="P76" s="1523">
        <f t="shared" si="9"/>
        <v>0</v>
      </c>
      <c r="R76" s="1547" t="s">
        <v>1804</v>
      </c>
      <c r="T76" s="1523">
        <v>0</v>
      </c>
      <c r="V76" s="1523">
        <f t="shared" si="10"/>
        <v>0</v>
      </c>
      <c r="X76" s="1547" t="s">
        <v>1804</v>
      </c>
      <c r="Z76" s="1523">
        <v>0</v>
      </c>
      <c r="AB76" s="1523">
        <f t="shared" si="12"/>
        <v>0</v>
      </c>
      <c r="AD76" s="1523">
        <f t="shared" si="0"/>
        <v>-6475094</v>
      </c>
      <c r="AF76" s="1523">
        <f t="shared" si="13"/>
        <v>-95380944</v>
      </c>
      <c r="AH76" s="1523">
        <f t="shared" si="14"/>
        <v>-98618491</v>
      </c>
      <c r="AI76" s="1544"/>
      <c r="AJ76" s="1783">
        <v>0.245866</v>
      </c>
      <c r="AK76" s="1780"/>
      <c r="AL76" s="1783">
        <f t="shared" si="4"/>
        <v>0.32602400000000009</v>
      </c>
      <c r="AN76" s="1523">
        <f t="shared" si="5"/>
        <v>-95380944</v>
      </c>
      <c r="AP76" s="1523">
        <f t="shared" si="6"/>
        <v>-31096477</v>
      </c>
      <c r="AR76" s="1523">
        <f t="shared" si="7"/>
        <v>-126477421</v>
      </c>
      <c r="AT76" s="1523">
        <f t="shared" si="8"/>
        <v>31096498</v>
      </c>
    </row>
    <row r="77" spans="2:46">
      <c r="B77" s="1781">
        <v>39</v>
      </c>
      <c r="C77" s="1557"/>
      <c r="D77" s="1782" t="s">
        <v>1757</v>
      </c>
      <c r="E77" s="1544"/>
      <c r="F77" s="1547">
        <v>53.2</v>
      </c>
      <c r="H77" s="1523">
        <f t="shared" si="1"/>
        <v>-6475094</v>
      </c>
      <c r="J77" s="1523">
        <f t="shared" si="15"/>
        <v>-88905850</v>
      </c>
      <c r="L77" s="1547" t="s">
        <v>1804</v>
      </c>
      <c r="N77" s="1523">
        <v>0</v>
      </c>
      <c r="P77" s="1523">
        <f t="shared" si="9"/>
        <v>0</v>
      </c>
      <c r="R77" s="1547" t="s">
        <v>1804</v>
      </c>
      <c r="T77" s="1523">
        <v>0</v>
      </c>
      <c r="V77" s="1523">
        <f t="shared" si="10"/>
        <v>0</v>
      </c>
      <c r="X77" s="1547" t="s">
        <v>1804</v>
      </c>
      <c r="Z77" s="1523">
        <v>0</v>
      </c>
      <c r="AB77" s="1523">
        <f t="shared" si="12"/>
        <v>0</v>
      </c>
      <c r="AD77" s="1523">
        <f t="shared" si="0"/>
        <v>-6475094</v>
      </c>
      <c r="AF77" s="1523">
        <f t="shared" si="13"/>
        <v>-88905850</v>
      </c>
      <c r="AH77" s="1523">
        <f t="shared" si="14"/>
        <v>-92143397</v>
      </c>
      <c r="AI77" s="1544"/>
      <c r="AJ77" s="1783">
        <v>0.245866</v>
      </c>
      <c r="AK77" s="1780"/>
      <c r="AL77" s="1783">
        <f t="shared" si="4"/>
        <v>0.32602400000000009</v>
      </c>
      <c r="AN77" s="1523">
        <f t="shared" si="5"/>
        <v>-88905850</v>
      </c>
      <c r="AP77" s="1523">
        <f t="shared" si="6"/>
        <v>-28985441</v>
      </c>
      <c r="AR77" s="1523">
        <f t="shared" si="7"/>
        <v>-117891291</v>
      </c>
      <c r="AT77" s="1523">
        <f t="shared" si="8"/>
        <v>28985460</v>
      </c>
    </row>
    <row r="78" spans="2:46">
      <c r="B78" s="1781">
        <v>40</v>
      </c>
      <c r="C78" s="1557"/>
      <c r="D78" s="1782" t="s">
        <v>1758</v>
      </c>
      <c r="E78" s="1544"/>
      <c r="F78" s="1547">
        <v>53.2</v>
      </c>
      <c r="H78" s="1523">
        <f t="shared" si="1"/>
        <v>-6475094</v>
      </c>
      <c r="J78" s="1523">
        <f t="shared" si="15"/>
        <v>-82430756</v>
      </c>
      <c r="L78" s="1547" t="s">
        <v>1804</v>
      </c>
      <c r="N78" s="1523">
        <v>0</v>
      </c>
      <c r="P78" s="1523">
        <f t="shared" si="9"/>
        <v>0</v>
      </c>
      <c r="R78" s="1547" t="s">
        <v>1804</v>
      </c>
      <c r="T78" s="1523">
        <v>0</v>
      </c>
      <c r="V78" s="1523">
        <f t="shared" si="10"/>
        <v>0</v>
      </c>
      <c r="X78" s="1547" t="s">
        <v>1804</v>
      </c>
      <c r="Z78" s="1523">
        <v>0</v>
      </c>
      <c r="AB78" s="1523">
        <f t="shared" si="12"/>
        <v>0</v>
      </c>
      <c r="AD78" s="1523">
        <f t="shared" si="0"/>
        <v>-6475094</v>
      </c>
      <c r="AF78" s="1523">
        <f t="shared" si="13"/>
        <v>-82430756</v>
      </c>
      <c r="AH78" s="1523">
        <f t="shared" si="14"/>
        <v>-85668303</v>
      </c>
      <c r="AI78" s="1544"/>
      <c r="AJ78" s="1783">
        <v>0.245866</v>
      </c>
      <c r="AK78" s="1780"/>
      <c r="AL78" s="1783">
        <f t="shared" si="4"/>
        <v>0.32602400000000009</v>
      </c>
      <c r="AN78" s="1523">
        <f t="shared" si="5"/>
        <v>-82430756</v>
      </c>
      <c r="AP78" s="1523">
        <f t="shared" si="6"/>
        <v>-26874405</v>
      </c>
      <c r="AR78" s="1523">
        <f t="shared" si="7"/>
        <v>-109305161</v>
      </c>
      <c r="AT78" s="1523">
        <f t="shared" si="8"/>
        <v>26874423</v>
      </c>
    </row>
    <row r="79" spans="2:46">
      <c r="B79" s="1781">
        <v>41</v>
      </c>
      <c r="C79" s="1557"/>
      <c r="D79" s="1782" t="s">
        <v>1759</v>
      </c>
      <c r="E79" s="1544"/>
      <c r="F79" s="1547">
        <v>53.2</v>
      </c>
      <c r="H79" s="1523">
        <f t="shared" si="1"/>
        <v>-6475094</v>
      </c>
      <c r="J79" s="1523">
        <f t="shared" si="15"/>
        <v>-75955662</v>
      </c>
      <c r="L79" s="1547" t="s">
        <v>1804</v>
      </c>
      <c r="N79" s="1523">
        <v>0</v>
      </c>
      <c r="P79" s="1523">
        <f t="shared" si="9"/>
        <v>0</v>
      </c>
      <c r="R79" s="1547" t="s">
        <v>1804</v>
      </c>
      <c r="T79" s="1523">
        <v>0</v>
      </c>
      <c r="V79" s="1523">
        <f t="shared" si="10"/>
        <v>0</v>
      </c>
      <c r="X79" s="1547" t="s">
        <v>1804</v>
      </c>
      <c r="Z79" s="1523">
        <v>0</v>
      </c>
      <c r="AB79" s="1523">
        <f t="shared" si="12"/>
        <v>0</v>
      </c>
      <c r="AD79" s="1523">
        <f t="shared" si="0"/>
        <v>-6475094</v>
      </c>
      <c r="AF79" s="1523">
        <f t="shared" si="13"/>
        <v>-75955662</v>
      </c>
      <c r="AH79" s="1523">
        <f t="shared" si="14"/>
        <v>-79193209</v>
      </c>
      <c r="AI79" s="1544"/>
      <c r="AJ79" s="1783">
        <v>0.245866</v>
      </c>
      <c r="AK79" s="1780"/>
      <c r="AL79" s="1783">
        <f t="shared" si="4"/>
        <v>0.32602400000000009</v>
      </c>
      <c r="AN79" s="1523">
        <f t="shared" si="5"/>
        <v>-75955662</v>
      </c>
      <c r="AP79" s="1523">
        <f t="shared" si="6"/>
        <v>-24763369</v>
      </c>
      <c r="AR79" s="1523">
        <f t="shared" si="7"/>
        <v>-100719031</v>
      </c>
      <c r="AT79" s="1523">
        <f t="shared" si="8"/>
        <v>24763385</v>
      </c>
    </row>
    <row r="80" spans="2:46">
      <c r="B80" s="1781">
        <v>42</v>
      </c>
      <c r="C80" s="1557"/>
      <c r="D80" s="1782" t="s">
        <v>1760</v>
      </c>
      <c r="E80" s="1544"/>
      <c r="F80" s="1547">
        <v>53.2</v>
      </c>
      <c r="H80" s="1523">
        <f t="shared" si="1"/>
        <v>-6475094</v>
      </c>
      <c r="J80" s="1523">
        <f t="shared" si="15"/>
        <v>-69480568</v>
      </c>
      <c r="L80" s="1547" t="s">
        <v>1804</v>
      </c>
      <c r="N80" s="1523">
        <v>0</v>
      </c>
      <c r="P80" s="1523">
        <f t="shared" si="9"/>
        <v>0</v>
      </c>
      <c r="R80" s="1547" t="s">
        <v>1804</v>
      </c>
      <c r="T80" s="1523">
        <v>0</v>
      </c>
      <c r="V80" s="1523">
        <f t="shared" si="10"/>
        <v>0</v>
      </c>
      <c r="X80" s="1547" t="s">
        <v>1804</v>
      </c>
      <c r="Z80" s="1523">
        <v>0</v>
      </c>
      <c r="AB80" s="1523">
        <f t="shared" si="12"/>
        <v>0</v>
      </c>
      <c r="AD80" s="1523">
        <f t="shared" si="0"/>
        <v>-6475094</v>
      </c>
      <c r="AF80" s="1523">
        <f t="shared" si="13"/>
        <v>-69480568</v>
      </c>
      <c r="AH80" s="1523">
        <f t="shared" si="14"/>
        <v>-72718115</v>
      </c>
      <c r="AI80" s="1544"/>
      <c r="AJ80" s="1783">
        <v>0.245866</v>
      </c>
      <c r="AK80" s="1780"/>
      <c r="AL80" s="1783">
        <f t="shared" si="4"/>
        <v>0.32602400000000009</v>
      </c>
      <c r="AN80" s="1523">
        <f t="shared" si="5"/>
        <v>-69480568</v>
      </c>
      <c r="AP80" s="1523">
        <f t="shared" si="6"/>
        <v>-22652333</v>
      </c>
      <c r="AR80" s="1523">
        <f t="shared" si="7"/>
        <v>-92132901</v>
      </c>
      <c r="AT80" s="1523">
        <f t="shared" si="8"/>
        <v>22652348</v>
      </c>
    </row>
    <row r="81" spans="2:46">
      <c r="B81" s="1781">
        <v>43</v>
      </c>
      <c r="C81" s="1557"/>
      <c r="D81" s="1782" t="s">
        <v>1761</v>
      </c>
      <c r="E81" s="1544"/>
      <c r="F81" s="1547">
        <v>53.2</v>
      </c>
      <c r="H81" s="1523">
        <f t="shared" si="1"/>
        <v>-6475094</v>
      </c>
      <c r="J81" s="1523">
        <f t="shared" si="15"/>
        <v>-63005474</v>
      </c>
      <c r="L81" s="1547" t="s">
        <v>1804</v>
      </c>
      <c r="N81" s="1523">
        <v>0</v>
      </c>
      <c r="P81" s="1523">
        <f t="shared" si="9"/>
        <v>0</v>
      </c>
      <c r="R81" s="1547" t="s">
        <v>1804</v>
      </c>
      <c r="T81" s="1523">
        <v>0</v>
      </c>
      <c r="V81" s="1523">
        <f t="shared" si="10"/>
        <v>0</v>
      </c>
      <c r="X81" s="1547" t="s">
        <v>1804</v>
      </c>
      <c r="Z81" s="1523">
        <v>0</v>
      </c>
      <c r="AB81" s="1523">
        <f t="shared" si="12"/>
        <v>0</v>
      </c>
      <c r="AD81" s="1523">
        <f t="shared" si="0"/>
        <v>-6475094</v>
      </c>
      <c r="AF81" s="1523">
        <f t="shared" si="13"/>
        <v>-63005474</v>
      </c>
      <c r="AH81" s="1523">
        <f t="shared" si="14"/>
        <v>-66243021</v>
      </c>
      <c r="AI81" s="1544"/>
      <c r="AJ81" s="1783">
        <v>0.245866</v>
      </c>
      <c r="AK81" s="1780"/>
      <c r="AL81" s="1783">
        <f t="shared" si="4"/>
        <v>0.32602400000000009</v>
      </c>
      <c r="AN81" s="1523">
        <f t="shared" si="5"/>
        <v>-63005474</v>
      </c>
      <c r="AP81" s="1523">
        <f t="shared" si="6"/>
        <v>-20541297</v>
      </c>
      <c r="AR81" s="1523">
        <f t="shared" si="7"/>
        <v>-83546771</v>
      </c>
      <c r="AT81" s="1523">
        <f t="shared" si="8"/>
        <v>20541310</v>
      </c>
    </row>
    <row r="82" spans="2:46">
      <c r="B82" s="1781">
        <v>44</v>
      </c>
      <c r="C82" s="1557"/>
      <c r="D82" s="1782" t="s">
        <v>1762</v>
      </c>
      <c r="E82" s="1544"/>
      <c r="F82" s="1547">
        <v>53.2</v>
      </c>
      <c r="H82" s="1523">
        <f t="shared" si="1"/>
        <v>-6475094</v>
      </c>
      <c r="J82" s="1523">
        <f t="shared" si="15"/>
        <v>-56530380</v>
      </c>
      <c r="L82" s="1547" t="s">
        <v>1804</v>
      </c>
      <c r="N82" s="1523">
        <v>0</v>
      </c>
      <c r="P82" s="1523">
        <f t="shared" si="9"/>
        <v>0</v>
      </c>
      <c r="R82" s="1547" t="s">
        <v>1804</v>
      </c>
      <c r="T82" s="1523">
        <v>0</v>
      </c>
      <c r="V82" s="1523">
        <f t="shared" si="10"/>
        <v>0</v>
      </c>
      <c r="X82" s="1547" t="s">
        <v>1804</v>
      </c>
      <c r="Z82" s="1523">
        <v>0</v>
      </c>
      <c r="AB82" s="1523">
        <f t="shared" si="12"/>
        <v>0</v>
      </c>
      <c r="AD82" s="1523">
        <f t="shared" si="0"/>
        <v>-6475094</v>
      </c>
      <c r="AF82" s="1523">
        <f t="shared" si="13"/>
        <v>-56530380</v>
      </c>
      <c r="AH82" s="1523">
        <f t="shared" si="14"/>
        <v>-59767927</v>
      </c>
      <c r="AI82" s="1544"/>
      <c r="AJ82" s="1783">
        <v>0.245866</v>
      </c>
      <c r="AK82" s="1780"/>
      <c r="AL82" s="1783">
        <f t="shared" si="4"/>
        <v>0.32602400000000009</v>
      </c>
      <c r="AN82" s="1523">
        <f t="shared" si="5"/>
        <v>-56530380</v>
      </c>
      <c r="AP82" s="1523">
        <f t="shared" si="6"/>
        <v>-18430261</v>
      </c>
      <c r="AR82" s="1523">
        <f t="shared" si="7"/>
        <v>-74960641</v>
      </c>
      <c r="AT82" s="1523">
        <f t="shared" si="8"/>
        <v>18430273</v>
      </c>
    </row>
    <row r="83" spans="2:46">
      <c r="B83" s="1781">
        <v>45</v>
      </c>
      <c r="C83" s="1557"/>
      <c r="D83" s="1782" t="s">
        <v>1763</v>
      </c>
      <c r="E83" s="1544"/>
      <c r="F83" s="1547">
        <v>53.2</v>
      </c>
      <c r="H83" s="1523">
        <f t="shared" si="1"/>
        <v>-6475094</v>
      </c>
      <c r="J83" s="1523">
        <f t="shared" si="15"/>
        <v>-50055286</v>
      </c>
      <c r="L83" s="1547" t="s">
        <v>1804</v>
      </c>
      <c r="N83" s="1523">
        <v>0</v>
      </c>
      <c r="P83" s="1523">
        <f t="shared" si="9"/>
        <v>0</v>
      </c>
      <c r="R83" s="1547" t="s">
        <v>1804</v>
      </c>
      <c r="T83" s="1523">
        <v>0</v>
      </c>
      <c r="V83" s="1523">
        <f t="shared" si="10"/>
        <v>0</v>
      </c>
      <c r="X83" s="1547" t="s">
        <v>1804</v>
      </c>
      <c r="Z83" s="1523">
        <v>0</v>
      </c>
      <c r="AB83" s="1523">
        <f t="shared" si="12"/>
        <v>0</v>
      </c>
      <c r="AD83" s="1523">
        <f t="shared" si="0"/>
        <v>-6475094</v>
      </c>
      <c r="AF83" s="1523">
        <f t="shared" si="13"/>
        <v>-50055286</v>
      </c>
      <c r="AH83" s="1523">
        <f t="shared" si="14"/>
        <v>-53292833</v>
      </c>
      <c r="AI83" s="1544"/>
      <c r="AJ83" s="1783">
        <v>0.245866</v>
      </c>
      <c r="AK83" s="1780"/>
      <c r="AL83" s="1783">
        <f t="shared" si="4"/>
        <v>0.32602400000000009</v>
      </c>
      <c r="AN83" s="1523">
        <f t="shared" si="5"/>
        <v>-50055286</v>
      </c>
      <c r="AP83" s="1523">
        <f t="shared" si="6"/>
        <v>-16319225</v>
      </c>
      <c r="AR83" s="1523">
        <f t="shared" si="7"/>
        <v>-66374511</v>
      </c>
      <c r="AT83" s="1523">
        <f t="shared" si="8"/>
        <v>16319236</v>
      </c>
    </row>
    <row r="84" spans="2:46">
      <c r="B84" s="1781">
        <v>46</v>
      </c>
      <c r="C84" s="1557"/>
      <c r="D84" s="1782" t="s">
        <v>1764</v>
      </c>
      <c r="E84" s="1544"/>
      <c r="F84" s="1547">
        <v>53.2</v>
      </c>
      <c r="H84" s="1523">
        <f t="shared" si="1"/>
        <v>-6475094</v>
      </c>
      <c r="J84" s="1523">
        <f t="shared" si="15"/>
        <v>-43580192</v>
      </c>
      <c r="L84" s="1547" t="s">
        <v>1804</v>
      </c>
      <c r="N84" s="1523">
        <v>0</v>
      </c>
      <c r="P84" s="1523">
        <f t="shared" si="9"/>
        <v>0</v>
      </c>
      <c r="R84" s="1547" t="s">
        <v>1804</v>
      </c>
      <c r="T84" s="1523">
        <v>0</v>
      </c>
      <c r="V84" s="1523">
        <f t="shared" si="10"/>
        <v>0</v>
      </c>
      <c r="X84" s="1547" t="s">
        <v>1804</v>
      </c>
      <c r="Z84" s="1523">
        <v>0</v>
      </c>
      <c r="AB84" s="1523">
        <f t="shared" si="12"/>
        <v>0</v>
      </c>
      <c r="AD84" s="1523">
        <f t="shared" si="0"/>
        <v>-6475094</v>
      </c>
      <c r="AF84" s="1523">
        <f t="shared" si="13"/>
        <v>-43580192</v>
      </c>
      <c r="AH84" s="1523">
        <f t="shared" si="14"/>
        <v>-46817739</v>
      </c>
      <c r="AI84" s="1544"/>
      <c r="AJ84" s="1783">
        <v>0.245866</v>
      </c>
      <c r="AK84" s="1780"/>
      <c r="AL84" s="1783">
        <f t="shared" si="4"/>
        <v>0.32602400000000009</v>
      </c>
      <c r="AN84" s="1523">
        <f t="shared" si="5"/>
        <v>-43580192</v>
      </c>
      <c r="AP84" s="1523">
        <f t="shared" si="6"/>
        <v>-14208189</v>
      </c>
      <c r="AR84" s="1523">
        <f t="shared" si="7"/>
        <v>-57788381</v>
      </c>
      <c r="AT84" s="1523">
        <f t="shared" si="8"/>
        <v>14208198</v>
      </c>
    </row>
    <row r="85" spans="2:46">
      <c r="B85" s="1781">
        <v>47</v>
      </c>
      <c r="C85" s="1557"/>
      <c r="D85" s="1782" t="s">
        <v>1765</v>
      </c>
      <c r="E85" s="1544"/>
      <c r="F85" s="1547">
        <v>53.2</v>
      </c>
      <c r="H85" s="1523">
        <f t="shared" si="1"/>
        <v>-6475094</v>
      </c>
      <c r="J85" s="1523">
        <f t="shared" si="15"/>
        <v>-37105098</v>
      </c>
      <c r="L85" s="1547" t="s">
        <v>1804</v>
      </c>
      <c r="N85" s="1523">
        <v>0</v>
      </c>
      <c r="P85" s="1523">
        <f t="shared" si="9"/>
        <v>0</v>
      </c>
      <c r="R85" s="1547" t="s">
        <v>1804</v>
      </c>
      <c r="T85" s="1523">
        <v>0</v>
      </c>
      <c r="V85" s="1523">
        <f t="shared" si="10"/>
        <v>0</v>
      </c>
      <c r="X85" s="1547" t="s">
        <v>1804</v>
      </c>
      <c r="Z85" s="1523">
        <v>0</v>
      </c>
      <c r="AB85" s="1523">
        <f t="shared" si="12"/>
        <v>0</v>
      </c>
      <c r="AD85" s="1523">
        <f t="shared" si="0"/>
        <v>-6475094</v>
      </c>
      <c r="AF85" s="1523">
        <f t="shared" si="13"/>
        <v>-37105098</v>
      </c>
      <c r="AH85" s="1523">
        <f t="shared" si="14"/>
        <v>-40342645</v>
      </c>
      <c r="AI85" s="1544"/>
      <c r="AJ85" s="1783">
        <v>0.245866</v>
      </c>
      <c r="AK85" s="1780"/>
      <c r="AL85" s="1783">
        <f t="shared" si="4"/>
        <v>0.32602400000000009</v>
      </c>
      <c r="AN85" s="1523">
        <f t="shared" si="5"/>
        <v>-37105098</v>
      </c>
      <c r="AP85" s="1523">
        <f t="shared" si="6"/>
        <v>-12097152</v>
      </c>
      <c r="AR85" s="1523">
        <f t="shared" si="7"/>
        <v>-49202250</v>
      </c>
      <c r="AT85" s="1523">
        <f t="shared" si="8"/>
        <v>12097160</v>
      </c>
    </row>
    <row r="86" spans="2:46">
      <c r="B86" s="1781">
        <v>48</v>
      </c>
      <c r="C86" s="1557"/>
      <c r="D86" s="1782" t="s">
        <v>1766</v>
      </c>
      <c r="E86" s="1544"/>
      <c r="F86" s="1547">
        <v>53.2</v>
      </c>
      <c r="H86" s="1523">
        <f t="shared" si="1"/>
        <v>-6475094</v>
      </c>
      <c r="J86" s="1523">
        <f t="shared" si="15"/>
        <v>-30630004</v>
      </c>
      <c r="L86" s="1547" t="s">
        <v>1804</v>
      </c>
      <c r="N86" s="1523">
        <v>0</v>
      </c>
      <c r="P86" s="1523">
        <f t="shared" si="9"/>
        <v>0</v>
      </c>
      <c r="R86" s="1547" t="s">
        <v>1804</v>
      </c>
      <c r="T86" s="1523">
        <v>0</v>
      </c>
      <c r="V86" s="1523">
        <f t="shared" si="10"/>
        <v>0</v>
      </c>
      <c r="X86" s="1547" t="s">
        <v>1804</v>
      </c>
      <c r="Z86" s="1523">
        <v>0</v>
      </c>
      <c r="AB86" s="1523">
        <f t="shared" si="12"/>
        <v>0</v>
      </c>
      <c r="AD86" s="1523">
        <f t="shared" si="0"/>
        <v>-6475094</v>
      </c>
      <c r="AF86" s="1523">
        <f t="shared" si="13"/>
        <v>-30630004</v>
      </c>
      <c r="AH86" s="1523">
        <f t="shared" si="14"/>
        <v>-33867551</v>
      </c>
      <c r="AI86" s="1544"/>
      <c r="AJ86" s="1783">
        <v>0.245866</v>
      </c>
      <c r="AK86" s="1780"/>
      <c r="AL86" s="1783">
        <f t="shared" si="4"/>
        <v>0.32602400000000009</v>
      </c>
      <c r="AN86" s="1523">
        <f t="shared" si="5"/>
        <v>-30630004</v>
      </c>
      <c r="AP86" s="1523">
        <f t="shared" si="6"/>
        <v>-9986116</v>
      </c>
      <c r="AR86" s="1523">
        <f t="shared" si="7"/>
        <v>-40616120</v>
      </c>
      <c r="AT86" s="1523">
        <f t="shared" si="8"/>
        <v>9986123</v>
      </c>
    </row>
    <row r="87" spans="2:46">
      <c r="B87" s="1781">
        <v>49</v>
      </c>
      <c r="C87" s="1557"/>
      <c r="D87" s="1782" t="s">
        <v>1767</v>
      </c>
      <c r="E87" s="1544"/>
      <c r="F87" s="1547">
        <v>53.2</v>
      </c>
      <c r="H87" s="1523">
        <f t="shared" si="1"/>
        <v>-6475094</v>
      </c>
      <c r="J87" s="1523">
        <f t="shared" si="15"/>
        <v>-24154910</v>
      </c>
      <c r="L87" s="1547" t="s">
        <v>1804</v>
      </c>
      <c r="N87" s="1523">
        <v>0</v>
      </c>
      <c r="P87" s="1523">
        <f t="shared" si="9"/>
        <v>0</v>
      </c>
      <c r="R87" s="1547" t="s">
        <v>1804</v>
      </c>
      <c r="T87" s="1523">
        <v>0</v>
      </c>
      <c r="V87" s="1523">
        <f t="shared" si="10"/>
        <v>0</v>
      </c>
      <c r="X87" s="1547" t="s">
        <v>1804</v>
      </c>
      <c r="Z87" s="1523">
        <v>0</v>
      </c>
      <c r="AB87" s="1523">
        <f t="shared" si="12"/>
        <v>0</v>
      </c>
      <c r="AD87" s="1523">
        <f t="shared" si="0"/>
        <v>-6475094</v>
      </c>
      <c r="AF87" s="1523">
        <f t="shared" si="13"/>
        <v>-24154910</v>
      </c>
      <c r="AH87" s="1523">
        <f t="shared" si="14"/>
        <v>-27392457</v>
      </c>
      <c r="AI87" s="1544"/>
      <c r="AJ87" s="1783">
        <v>0.245866</v>
      </c>
      <c r="AK87" s="1780"/>
      <c r="AL87" s="1783">
        <f t="shared" si="4"/>
        <v>0.32602400000000009</v>
      </c>
      <c r="AN87" s="1523">
        <f t="shared" si="5"/>
        <v>-24154910</v>
      </c>
      <c r="AP87" s="1523">
        <f t="shared" si="6"/>
        <v>-7875080</v>
      </c>
      <c r="AR87" s="1523">
        <f t="shared" si="7"/>
        <v>-32029990</v>
      </c>
      <c r="AT87" s="1523">
        <f t="shared" si="8"/>
        <v>7875086</v>
      </c>
    </row>
    <row r="88" spans="2:46">
      <c r="B88" s="1781">
        <v>50</v>
      </c>
      <c r="C88" s="1557"/>
      <c r="D88" s="1782" t="s">
        <v>1768</v>
      </c>
      <c r="E88" s="1544"/>
      <c r="F88" s="1547">
        <v>53.2</v>
      </c>
      <c r="H88" s="1523">
        <f t="shared" si="1"/>
        <v>-6475094</v>
      </c>
      <c r="J88" s="1523">
        <f t="shared" si="15"/>
        <v>-17679816</v>
      </c>
      <c r="L88" s="1547" t="s">
        <v>1804</v>
      </c>
      <c r="N88" s="1523">
        <v>0</v>
      </c>
      <c r="P88" s="1523">
        <f t="shared" si="9"/>
        <v>0</v>
      </c>
      <c r="R88" s="1547" t="s">
        <v>1804</v>
      </c>
      <c r="T88" s="1523">
        <v>0</v>
      </c>
      <c r="V88" s="1523">
        <f t="shared" si="10"/>
        <v>0</v>
      </c>
      <c r="X88" s="1547" t="s">
        <v>1804</v>
      </c>
      <c r="Z88" s="1523">
        <v>0</v>
      </c>
      <c r="AB88" s="1523">
        <f t="shared" si="12"/>
        <v>0</v>
      </c>
      <c r="AD88" s="1523">
        <f t="shared" si="0"/>
        <v>-6475094</v>
      </c>
      <c r="AF88" s="1523">
        <f t="shared" si="13"/>
        <v>-17679816</v>
      </c>
      <c r="AH88" s="1523">
        <f t="shared" si="14"/>
        <v>-20917363</v>
      </c>
      <c r="AI88" s="1544"/>
      <c r="AJ88" s="1783">
        <v>0.245866</v>
      </c>
      <c r="AK88" s="1780"/>
      <c r="AL88" s="1783">
        <f t="shared" si="4"/>
        <v>0.32602400000000009</v>
      </c>
      <c r="AN88" s="1523">
        <f t="shared" si="5"/>
        <v>-17679816</v>
      </c>
      <c r="AP88" s="1523">
        <f t="shared" si="6"/>
        <v>-5764044</v>
      </c>
      <c r="AR88" s="1523">
        <f t="shared" si="7"/>
        <v>-23443860</v>
      </c>
      <c r="AT88" s="1523">
        <f t="shared" si="8"/>
        <v>5764048</v>
      </c>
    </row>
    <row r="89" spans="2:46">
      <c r="B89" s="1784">
        <v>51</v>
      </c>
      <c r="C89" s="1557"/>
      <c r="D89" s="1785" t="s">
        <v>1769</v>
      </c>
      <c r="E89" s="1544"/>
      <c r="F89" s="1549">
        <v>53.2</v>
      </c>
      <c r="H89" s="1523">
        <f t="shared" si="1"/>
        <v>-6475094</v>
      </c>
      <c r="J89" s="1526">
        <f>J88-H89</f>
        <v>-11204722</v>
      </c>
      <c r="L89" s="1549" t="s">
        <v>1804</v>
      </c>
      <c r="N89" s="1526">
        <v>0</v>
      </c>
      <c r="P89" s="1526">
        <f t="shared" si="9"/>
        <v>0</v>
      </c>
      <c r="R89" s="1549" t="s">
        <v>1804</v>
      </c>
      <c r="T89" s="1526">
        <v>0</v>
      </c>
      <c r="V89" s="1526">
        <f t="shared" si="10"/>
        <v>0</v>
      </c>
      <c r="X89" s="1549" t="s">
        <v>1804</v>
      </c>
      <c r="Z89" s="1526">
        <v>0</v>
      </c>
      <c r="AB89" s="1526">
        <f t="shared" si="12"/>
        <v>0</v>
      </c>
      <c r="AD89" s="1526">
        <f t="shared" si="0"/>
        <v>-6475094</v>
      </c>
      <c r="AF89" s="1526">
        <f t="shared" si="13"/>
        <v>-11204722</v>
      </c>
      <c r="AH89" s="1526">
        <f t="shared" si="14"/>
        <v>-14442269</v>
      </c>
      <c r="AI89" s="1544"/>
      <c r="AJ89" s="1786">
        <v>0.245866</v>
      </c>
      <c r="AK89" s="1780"/>
      <c r="AL89" s="1786">
        <f t="shared" si="4"/>
        <v>0.32602400000000009</v>
      </c>
      <c r="AN89" s="1526">
        <f t="shared" si="5"/>
        <v>-11204722</v>
      </c>
      <c r="AP89" s="1526">
        <f t="shared" si="6"/>
        <v>-3653008</v>
      </c>
      <c r="AR89" s="1526">
        <f t="shared" si="7"/>
        <v>-14857730</v>
      </c>
      <c r="AT89" s="1526">
        <f t="shared" si="8"/>
        <v>3653011</v>
      </c>
    </row>
    <row r="90" spans="2:46" ht="5.25" customHeight="1">
      <c r="B90" s="1557"/>
      <c r="C90" s="1557"/>
      <c r="D90" s="1557"/>
      <c r="E90" s="1544"/>
      <c r="F90" s="1544"/>
      <c r="G90" s="1544"/>
      <c r="H90" s="1544"/>
      <c r="I90" s="1544"/>
      <c r="J90" s="1544"/>
      <c r="K90" s="1544"/>
      <c r="L90" s="1544"/>
      <c r="M90" s="1544"/>
      <c r="N90" s="1544"/>
      <c r="O90" s="1544"/>
      <c r="P90" s="1544"/>
      <c r="Q90" s="1544"/>
      <c r="R90" s="1544"/>
      <c r="S90" s="1544"/>
      <c r="T90" s="1544"/>
      <c r="U90" s="1544"/>
      <c r="V90" s="1544"/>
      <c r="W90" s="1544"/>
      <c r="X90" s="1544"/>
      <c r="Y90" s="1544"/>
      <c r="Z90" s="1544"/>
      <c r="AA90" s="1544"/>
      <c r="AB90" s="1544"/>
      <c r="AC90" s="1544"/>
      <c r="AD90" s="1544"/>
      <c r="AE90" s="1544"/>
      <c r="AF90" s="1544"/>
      <c r="AG90" s="1544"/>
      <c r="AH90" s="1544"/>
      <c r="AI90" s="1544"/>
    </row>
    <row r="91" spans="2:46" ht="5.25" customHeight="1">
      <c r="B91" s="1557"/>
      <c r="C91" s="1557"/>
      <c r="D91" s="1557"/>
      <c r="E91" s="1544"/>
      <c r="F91" s="1544"/>
      <c r="G91" s="1544"/>
      <c r="H91" s="1544"/>
      <c r="I91" s="1544"/>
      <c r="J91" s="1544"/>
      <c r="K91" s="1544"/>
      <c r="L91" s="1544"/>
      <c r="M91" s="1544"/>
      <c r="N91" s="1544"/>
      <c r="O91" s="1544"/>
      <c r="P91" s="1544"/>
      <c r="Q91" s="1544"/>
      <c r="R91" s="1544"/>
      <c r="S91" s="1544"/>
      <c r="T91" s="1544"/>
      <c r="U91" s="1544"/>
      <c r="V91" s="1544"/>
      <c r="W91" s="1544"/>
      <c r="X91" s="1544"/>
      <c r="Y91" s="1544"/>
      <c r="Z91" s="1544"/>
      <c r="AA91" s="1544"/>
      <c r="AB91" s="1544"/>
      <c r="AC91" s="1544"/>
      <c r="AD91" s="1544"/>
      <c r="AE91" s="1544"/>
      <c r="AF91" s="1544"/>
      <c r="AG91" s="1544"/>
      <c r="AH91" s="1544"/>
      <c r="AI91" s="1544"/>
    </row>
    <row r="92" spans="2:46">
      <c r="B92" s="1521" t="s">
        <v>236</v>
      </c>
      <c r="C92" s="321" t="s">
        <v>1788</v>
      </c>
      <c r="D92" s="1544"/>
      <c r="E92" s="1544"/>
      <c r="F92" s="1544"/>
      <c r="G92" s="1544"/>
      <c r="H92" s="1544"/>
      <c r="I92" s="1544"/>
      <c r="J92" s="1544"/>
      <c r="K92" s="1544"/>
      <c r="L92" s="1544"/>
      <c r="M92" s="1544"/>
      <c r="N92" s="1544"/>
      <c r="O92" s="1544"/>
      <c r="P92" s="1544"/>
      <c r="Q92" s="1544"/>
      <c r="R92" s="1544"/>
      <c r="S92" s="1544"/>
      <c r="T92" s="1544"/>
      <c r="U92" s="1544"/>
      <c r="V92" s="1544"/>
      <c r="W92" s="1544"/>
      <c r="X92" s="1544"/>
      <c r="Y92" s="1544"/>
      <c r="Z92" s="1544"/>
      <c r="AA92" s="1544"/>
      <c r="AB92" s="1544"/>
      <c r="AC92" s="1544"/>
      <c r="AD92" s="1544"/>
      <c r="AE92" s="1544"/>
      <c r="AF92" s="1544"/>
      <c r="AG92" s="1544"/>
      <c r="AH92" s="1544"/>
      <c r="AI92" s="1544"/>
    </row>
    <row r="93" spans="2:46">
      <c r="B93" s="1521" t="s">
        <v>238</v>
      </c>
      <c r="C93" s="321" t="s">
        <v>1786</v>
      </c>
      <c r="D93" s="1544"/>
      <c r="E93" s="1544"/>
      <c r="F93" s="1544"/>
      <c r="G93" s="1544"/>
      <c r="H93" s="1544"/>
      <c r="I93" s="1544"/>
      <c r="J93" s="1544"/>
      <c r="K93" s="1544"/>
      <c r="L93" s="1544"/>
      <c r="M93" s="1544"/>
      <c r="N93" s="1544"/>
      <c r="O93" s="1544"/>
      <c r="P93" s="1544"/>
      <c r="Q93" s="1544"/>
      <c r="R93" s="1544"/>
      <c r="S93" s="1544"/>
      <c r="T93" s="1544"/>
      <c r="U93" s="1544"/>
      <c r="V93" s="1544"/>
      <c r="W93" s="1544"/>
      <c r="X93" s="1544"/>
      <c r="Y93" s="1544"/>
      <c r="Z93" s="1544"/>
      <c r="AA93" s="1544"/>
      <c r="AB93" s="1544"/>
      <c r="AC93" s="1544"/>
      <c r="AD93" s="1544"/>
      <c r="AE93" s="1544"/>
      <c r="AF93" s="1544"/>
      <c r="AG93" s="1544"/>
      <c r="AH93" s="1544"/>
      <c r="AI93" s="1544"/>
    </row>
    <row r="94" spans="2:46">
      <c r="B94" s="1544"/>
      <c r="C94" s="1544"/>
      <c r="D94" s="1544"/>
      <c r="E94" s="1544"/>
      <c r="F94" s="1544"/>
      <c r="G94" s="1544"/>
      <c r="H94" s="1544"/>
      <c r="I94" s="1544"/>
      <c r="J94" s="1544"/>
      <c r="K94" s="1544"/>
      <c r="L94" s="1544"/>
      <c r="M94" s="1544"/>
      <c r="N94" s="1544"/>
      <c r="O94" s="1544"/>
      <c r="P94" s="1544"/>
      <c r="Q94" s="1544"/>
      <c r="R94" s="1544"/>
      <c r="S94" s="1544"/>
      <c r="T94" s="1544"/>
      <c r="U94" s="1544"/>
      <c r="V94" s="1544"/>
      <c r="W94" s="1544"/>
      <c r="X94" s="1544"/>
      <c r="Y94" s="1544"/>
      <c r="Z94" s="1544"/>
      <c r="AA94" s="1544"/>
      <c r="AB94" s="1544"/>
      <c r="AC94" s="1544"/>
      <c r="AD94" s="1544"/>
      <c r="AE94" s="1544"/>
      <c r="AF94" s="1544"/>
      <c r="AG94" s="1544"/>
      <c r="AH94" s="1544"/>
      <c r="AI94" s="1544"/>
    </row>
    <row r="95" spans="2:46">
      <c r="B95" s="1544"/>
      <c r="C95" s="1544"/>
      <c r="D95" s="1544"/>
      <c r="E95" s="1544"/>
      <c r="F95" s="1544"/>
      <c r="G95" s="1544"/>
      <c r="H95" s="1544"/>
      <c r="I95" s="1544"/>
      <c r="J95" s="1544"/>
      <c r="K95" s="1544"/>
      <c r="L95" s="1544"/>
      <c r="M95" s="1544"/>
      <c r="N95" s="1544"/>
      <c r="O95" s="1544"/>
      <c r="P95" s="1544"/>
      <c r="Q95" s="1544"/>
      <c r="R95" s="1544"/>
      <c r="S95" s="1544"/>
      <c r="T95" s="1544"/>
      <c r="U95" s="1544"/>
      <c r="V95" s="1544"/>
      <c r="W95" s="1544"/>
      <c r="X95" s="1544"/>
      <c r="Y95" s="1544"/>
      <c r="Z95" s="1544"/>
      <c r="AA95" s="1544"/>
      <c r="AB95" s="1544"/>
      <c r="AC95" s="1544"/>
      <c r="AD95" s="1544"/>
      <c r="AE95" s="1544"/>
      <c r="AF95" s="1544"/>
      <c r="AG95" s="1544"/>
      <c r="AH95" s="1544"/>
      <c r="AI95" s="1544"/>
    </row>
  </sheetData>
  <mergeCells count="1">
    <mergeCell ref="AJ33:AT36"/>
  </mergeCells>
  <pageMargins left="0.7" right="0.7" top="0.75" bottom="0.75" header="0.3" footer="0.3"/>
  <pageSetup scale="29" orientation="landscape"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B92E2-A488-42DF-A7E6-8D2EDFF7841B}">
  <sheetPr>
    <pageSetUpPr fitToPage="1"/>
  </sheetPr>
  <dimension ref="A1:AT95"/>
  <sheetViews>
    <sheetView workbookViewId="0"/>
  </sheetViews>
  <sheetFormatPr defaultColWidth="9.140625" defaultRowHeight="12.75"/>
  <cols>
    <col min="1" max="1" width="5.85546875" style="1514" customWidth="1"/>
    <col min="2" max="2" width="4.85546875" style="1514" customWidth="1"/>
    <col min="3" max="3" width="2.85546875" style="1514" customWidth="1"/>
    <col min="4" max="4" width="12.85546875" style="1514" customWidth="1"/>
    <col min="5" max="5" width="4.85546875" style="1514" customWidth="1"/>
    <col min="6" max="6" width="10.85546875" style="1514" customWidth="1"/>
    <col min="7" max="7" width="2.85546875" style="1514" customWidth="1"/>
    <col min="8" max="8" width="15.85546875" style="1514" customWidth="1"/>
    <col min="9" max="9" width="2.85546875" style="1514" customWidth="1"/>
    <col min="10" max="10" width="15.85546875" style="1514" customWidth="1"/>
    <col min="11" max="11" width="4.85546875" style="1514" customWidth="1"/>
    <col min="12" max="12" width="10.85546875" style="1514" customWidth="1"/>
    <col min="13" max="13" width="2.85546875" style="1514" customWidth="1"/>
    <col min="14" max="14" width="15.85546875" style="1514" customWidth="1"/>
    <col min="15" max="15" width="2.85546875" style="1514" customWidth="1"/>
    <col min="16" max="16" width="15.85546875" style="1514" customWidth="1"/>
    <col min="17" max="17" width="4.85546875" style="1514" customWidth="1"/>
    <col min="18" max="18" width="10.85546875" style="1514" customWidth="1"/>
    <col min="19" max="19" width="2.85546875" style="1514" customWidth="1"/>
    <col min="20" max="20" width="15.85546875" style="1514" customWidth="1"/>
    <col min="21" max="21" width="2.85546875" style="1514" customWidth="1"/>
    <col min="22" max="22" width="15.85546875" style="1514" customWidth="1"/>
    <col min="23" max="23" width="4.85546875" style="1514" customWidth="1"/>
    <col min="24" max="24" width="10.85546875" style="1514" customWidth="1"/>
    <col min="25" max="25" width="2.85546875" style="1514" customWidth="1"/>
    <col min="26" max="26" width="15.85546875" style="1514" customWidth="1"/>
    <col min="27" max="27" width="2.85546875" style="1514" customWidth="1"/>
    <col min="28" max="28" width="15.85546875" style="1514" customWidth="1"/>
    <col min="29" max="29" width="4.85546875" style="1514" customWidth="1"/>
    <col min="30" max="30" width="15.85546875" style="1514" customWidth="1"/>
    <col min="31" max="31" width="2.85546875" style="1514" customWidth="1"/>
    <col min="32" max="32" width="15.85546875" style="1514" customWidth="1"/>
    <col min="33" max="33" width="2.85546875" style="1514" customWidth="1"/>
    <col min="34" max="34" width="15.85546875" style="1514" customWidth="1"/>
    <col min="35" max="35" width="5.85546875" style="1514" customWidth="1"/>
    <col min="36" max="36" width="10.85546875" style="1514" customWidth="1"/>
    <col min="37" max="37" width="2.85546875" style="1514" customWidth="1"/>
    <col min="38" max="38" width="10.85546875" style="1514" customWidth="1"/>
    <col min="39" max="39" width="2.85546875" style="1514" customWidth="1"/>
    <col min="40" max="40" width="15.85546875" style="1514" customWidth="1"/>
    <col min="41" max="41" width="2.85546875" style="1514" customWidth="1"/>
    <col min="42" max="42" width="15.85546875" style="1514" customWidth="1"/>
    <col min="43" max="43" width="2.85546875" style="1514" customWidth="1"/>
    <col min="44" max="44" width="15.85546875" style="1514" customWidth="1"/>
    <col min="45" max="45" width="2.85546875" style="1514" customWidth="1"/>
    <col min="46" max="46" width="23.7109375" style="1514" customWidth="1"/>
    <col min="47" max="47" width="5.85546875" style="1514" customWidth="1"/>
    <col min="48" max="16384" width="9.140625" style="1514"/>
  </cols>
  <sheetData>
    <row r="1" spans="1:35" ht="15">
      <c r="A1" s="1557"/>
      <c r="B1" s="1729" t="s">
        <v>2</v>
      </c>
      <c r="C1" s="1730"/>
      <c r="D1" s="1730"/>
      <c r="E1" s="1730"/>
      <c r="F1" s="1730"/>
      <c r="G1" s="1730"/>
      <c r="H1" s="1730"/>
      <c r="I1" s="1730"/>
      <c r="J1" s="1730"/>
      <c r="K1" s="1730"/>
      <c r="L1" s="1730"/>
      <c r="M1" s="1730"/>
      <c r="N1" s="1730"/>
      <c r="O1" s="1730"/>
      <c r="P1" s="1730"/>
      <c r="Q1" s="1730"/>
      <c r="R1" s="1730"/>
      <c r="S1" s="1730"/>
      <c r="T1" s="1730"/>
      <c r="U1" s="1730"/>
      <c r="V1" s="1730"/>
      <c r="W1" s="1730"/>
      <c r="X1" s="1730"/>
      <c r="Y1" s="1730"/>
      <c r="Z1" s="1730"/>
      <c r="AA1" s="1730"/>
      <c r="AB1" s="1730"/>
      <c r="AC1" s="1730"/>
      <c r="AD1" s="1730"/>
      <c r="AE1" s="1730"/>
      <c r="AF1" s="1730"/>
      <c r="AG1" s="1730"/>
      <c r="AH1" s="1730"/>
      <c r="AI1" s="1544"/>
    </row>
    <row r="2" spans="1:35" ht="15">
      <c r="A2" s="1557"/>
      <c r="B2" s="1729" t="s">
        <v>1893</v>
      </c>
      <c r="C2" s="1729"/>
      <c r="D2" s="1729"/>
      <c r="E2" s="1729"/>
      <c r="F2" s="1729"/>
      <c r="G2" s="1729"/>
      <c r="H2" s="1729"/>
      <c r="I2" s="1729"/>
      <c r="J2" s="1729"/>
      <c r="K2" s="1729"/>
      <c r="L2" s="1729"/>
      <c r="M2" s="1729"/>
      <c r="N2" s="1729"/>
      <c r="O2" s="1729"/>
      <c r="P2" s="1729"/>
      <c r="Q2" s="1729"/>
      <c r="R2" s="1729"/>
      <c r="S2" s="1729"/>
      <c r="T2" s="1729"/>
      <c r="U2" s="1729"/>
      <c r="V2" s="1729"/>
      <c r="W2" s="1729"/>
      <c r="X2" s="1729"/>
      <c r="Y2" s="1729"/>
      <c r="Z2" s="1729"/>
      <c r="AA2" s="1729"/>
      <c r="AB2" s="1729"/>
      <c r="AC2" s="1729"/>
      <c r="AD2" s="1729"/>
      <c r="AE2" s="1729"/>
      <c r="AF2" s="1729"/>
      <c r="AG2" s="1729"/>
      <c r="AH2" s="1729"/>
      <c r="AI2" s="1544"/>
    </row>
    <row r="3" spans="1:35" ht="15">
      <c r="A3" s="1557"/>
      <c r="B3" s="1787" t="s">
        <v>1894</v>
      </c>
      <c r="C3" s="1729"/>
      <c r="D3" s="1729"/>
      <c r="E3" s="1729"/>
      <c r="F3" s="1729"/>
      <c r="G3" s="1729"/>
      <c r="H3" s="1729"/>
      <c r="I3" s="1729"/>
      <c r="J3" s="1729"/>
      <c r="K3" s="1729"/>
      <c r="L3" s="1729"/>
      <c r="M3" s="1729"/>
      <c r="N3" s="1729"/>
      <c r="O3" s="1729"/>
      <c r="P3" s="1729"/>
      <c r="Q3" s="1729"/>
      <c r="R3" s="1729"/>
      <c r="S3" s="1729"/>
      <c r="T3" s="1732"/>
      <c r="U3" s="1729"/>
      <c r="V3" s="1729"/>
      <c r="W3" s="1732"/>
      <c r="X3" s="1729"/>
      <c r="Y3" s="1729"/>
      <c r="Z3" s="1729"/>
      <c r="AA3" s="1729"/>
      <c r="AB3" s="1729"/>
      <c r="AC3" s="1729"/>
      <c r="AD3" s="1729"/>
      <c r="AE3" s="1729"/>
      <c r="AF3" s="1729"/>
      <c r="AG3" s="1729"/>
      <c r="AH3" s="1729"/>
      <c r="AI3" s="1544"/>
    </row>
    <row r="4" spans="1:35">
      <c r="A4" s="1557"/>
      <c r="B4" s="1557"/>
      <c r="C4" s="1557"/>
      <c r="D4" s="1557"/>
      <c r="E4" s="1557"/>
      <c r="F4" s="1557"/>
      <c r="G4" s="1557"/>
      <c r="H4" s="1557"/>
      <c r="I4" s="1557"/>
      <c r="J4" s="1557"/>
      <c r="K4" s="1557"/>
      <c r="L4" s="1557"/>
      <c r="M4" s="1557"/>
      <c r="N4" s="1557"/>
      <c r="O4" s="1557"/>
      <c r="P4" s="1557"/>
      <c r="Q4" s="1557"/>
      <c r="R4" s="1557"/>
      <c r="S4" s="1557"/>
      <c r="T4" s="1557"/>
      <c r="U4" s="1557"/>
      <c r="V4" s="1557"/>
      <c r="W4" s="1557"/>
      <c r="X4" s="1557"/>
      <c r="Y4" s="1557"/>
      <c r="Z4" s="1557"/>
      <c r="AA4" s="1557"/>
      <c r="AB4" s="1557"/>
      <c r="AC4" s="1557"/>
      <c r="AD4" s="1557"/>
      <c r="AE4" s="1557"/>
      <c r="AF4" s="1557"/>
      <c r="AG4" s="1557"/>
      <c r="AH4" s="1557"/>
      <c r="AI4" s="1544"/>
    </row>
    <row r="5" spans="1:35">
      <c r="A5" s="1557"/>
      <c r="B5" s="1816" t="s">
        <v>2037</v>
      </c>
      <c r="C5" s="1515"/>
      <c r="D5" s="1515"/>
      <c r="E5" s="1515"/>
      <c r="F5" s="1515"/>
      <c r="G5" s="1515"/>
      <c r="H5" s="1515"/>
      <c r="I5" s="1515"/>
      <c r="J5" s="1515"/>
      <c r="K5" s="1515"/>
      <c r="L5" s="1515"/>
      <c r="M5" s="1515"/>
      <c r="N5" s="1731"/>
      <c r="O5" s="1731"/>
      <c r="P5" s="1515"/>
      <c r="Q5" s="1515"/>
      <c r="R5" s="1515"/>
      <c r="S5" s="1515"/>
      <c r="T5" s="1731"/>
      <c r="U5" s="1731"/>
      <c r="V5" s="1515"/>
      <c r="W5" s="1515"/>
      <c r="X5" s="1515"/>
      <c r="Y5" s="1515"/>
      <c r="Z5" s="1731"/>
      <c r="AA5" s="1731"/>
      <c r="AB5" s="1515"/>
      <c r="AC5" s="1515"/>
      <c r="AD5" s="1515"/>
      <c r="AE5" s="1515"/>
      <c r="AF5" s="1515"/>
      <c r="AG5" s="1515"/>
      <c r="AH5" s="1515"/>
      <c r="AI5" s="1544"/>
    </row>
    <row r="6" spans="1:35" ht="15" customHeight="1">
      <c r="A6" s="1557"/>
      <c r="B6" s="1518"/>
      <c r="C6" s="1518"/>
      <c r="D6" s="1518"/>
      <c r="E6" s="1518"/>
      <c r="F6" s="1518"/>
      <c r="G6" s="1518"/>
      <c r="H6" s="1518"/>
      <c r="I6" s="1518"/>
      <c r="J6" s="1518"/>
      <c r="K6" s="1518"/>
      <c r="L6" s="1518"/>
      <c r="M6" s="1518"/>
      <c r="N6" s="1732"/>
      <c r="O6" s="1732"/>
      <c r="P6" s="1518"/>
      <c r="Q6" s="1518"/>
      <c r="R6" s="1518"/>
      <c r="S6" s="1518"/>
      <c r="T6" s="1732"/>
      <c r="U6" s="1732"/>
      <c r="V6" s="1518"/>
      <c r="W6" s="1518"/>
      <c r="X6" s="1819" t="s">
        <v>2041</v>
      </c>
      <c r="Y6" s="1817"/>
      <c r="Z6" s="1818"/>
      <c r="AA6" s="1545"/>
      <c r="AB6" s="1545"/>
      <c r="AC6" s="1519"/>
      <c r="AD6" s="1545" t="s">
        <v>2042</v>
      </c>
      <c r="AE6" s="1545"/>
      <c r="AF6" s="1545"/>
      <c r="AG6" s="1545"/>
      <c r="AH6" s="1545"/>
      <c r="AI6" s="1544"/>
    </row>
    <row r="7" spans="1:35">
      <c r="A7" s="1557"/>
      <c r="B7" s="1518"/>
      <c r="C7" s="1518"/>
      <c r="D7" s="1518"/>
      <c r="E7" s="1518"/>
      <c r="F7" s="1518"/>
      <c r="G7" s="1518"/>
      <c r="H7" s="1518"/>
      <c r="I7" s="1518"/>
      <c r="J7" s="1518"/>
      <c r="K7" s="1518"/>
      <c r="L7" s="1518"/>
      <c r="M7" s="1518"/>
      <c r="N7" s="1732"/>
      <c r="O7" s="1732"/>
      <c r="P7" s="1518"/>
      <c r="Q7" s="1518"/>
      <c r="R7" s="1518"/>
      <c r="S7" s="1518"/>
      <c r="T7" s="1732"/>
      <c r="U7" s="1732"/>
      <c r="V7" s="1518"/>
      <c r="W7" s="1518"/>
      <c r="X7" s="1518"/>
      <c r="Y7" s="1518"/>
      <c r="Z7" s="1546" t="s">
        <v>1883</v>
      </c>
      <c r="AB7" s="1546" t="s">
        <v>1884</v>
      </c>
      <c r="AC7" s="1518"/>
      <c r="AD7" s="1518"/>
      <c r="AE7" s="1519"/>
      <c r="AF7" s="1518"/>
      <c r="AG7" s="1518"/>
      <c r="AH7" s="1518"/>
      <c r="AI7" s="1544"/>
    </row>
    <row r="8" spans="1:35">
      <c r="A8" s="1557"/>
      <c r="B8" s="1733" t="s">
        <v>284</v>
      </c>
      <c r="C8" s="1733"/>
      <c r="D8" s="1733"/>
      <c r="E8" s="1733"/>
      <c r="F8" s="1733"/>
      <c r="G8" s="1733"/>
      <c r="H8" s="1733"/>
      <c r="I8" s="1733"/>
      <c r="J8" s="1733"/>
      <c r="K8" s="1734"/>
      <c r="L8" s="1733"/>
      <c r="M8" s="1733"/>
      <c r="N8" s="1734"/>
      <c r="O8" s="1734"/>
      <c r="P8" s="1517"/>
      <c r="Q8" s="1734"/>
      <c r="R8" s="1733"/>
      <c r="S8" s="1733"/>
      <c r="T8" s="1734"/>
      <c r="U8" s="1734"/>
      <c r="V8" s="1517"/>
      <c r="X8" s="1517" t="s">
        <v>1701</v>
      </c>
      <c r="Y8" s="1519"/>
      <c r="Z8" s="1517" t="s">
        <v>1885</v>
      </c>
      <c r="AB8" s="1517" t="s">
        <v>1885</v>
      </c>
      <c r="AD8" s="1517" t="s">
        <v>111</v>
      </c>
      <c r="AF8" s="1517" t="s">
        <v>1702</v>
      </c>
      <c r="AH8" s="1517" t="s">
        <v>1703</v>
      </c>
      <c r="AI8" s="1544"/>
    </row>
    <row r="9" spans="1:35">
      <c r="A9" s="1557"/>
      <c r="B9" s="1735" t="s">
        <v>1704</v>
      </c>
      <c r="C9" s="1735"/>
      <c r="D9" s="1735"/>
      <c r="E9" s="1735"/>
      <c r="F9" s="1735"/>
      <c r="G9" s="1735"/>
      <c r="H9" s="1735"/>
      <c r="I9" s="1735"/>
      <c r="J9" s="1735"/>
      <c r="K9" s="1735"/>
      <c r="L9" s="1735"/>
      <c r="M9" s="1735"/>
      <c r="N9" s="1735"/>
      <c r="O9" s="1735"/>
      <c r="P9" s="1736"/>
      <c r="Q9" s="1735"/>
      <c r="R9" s="1735"/>
      <c r="S9" s="1735"/>
      <c r="T9" s="1735"/>
      <c r="U9" s="1735"/>
      <c r="V9" s="1736"/>
      <c r="W9" s="1557"/>
      <c r="X9" s="1737">
        <v>190</v>
      </c>
      <c r="Y9" s="1557"/>
      <c r="Z9" s="1735"/>
      <c r="AB9" s="1735"/>
      <c r="AC9" s="1557"/>
      <c r="AD9" s="1735"/>
      <c r="AE9" s="1557"/>
      <c r="AF9" s="1735"/>
      <c r="AG9" s="1557"/>
      <c r="AH9" s="1735"/>
      <c r="AI9" s="1544"/>
    </row>
    <row r="10" spans="1:35">
      <c r="A10" s="1557"/>
      <c r="B10" s="1738" t="s">
        <v>1705</v>
      </c>
      <c r="C10" s="1738"/>
      <c r="D10" s="1738"/>
      <c r="E10" s="1738"/>
      <c r="F10" s="1738"/>
      <c r="G10" s="1738"/>
      <c r="H10" s="1738"/>
      <c r="I10" s="1738"/>
      <c r="J10" s="1738"/>
      <c r="K10" s="1738"/>
      <c r="L10" s="1738"/>
      <c r="M10" s="1738"/>
      <c r="N10" s="1738"/>
      <c r="O10" s="1738"/>
      <c r="P10" s="1739"/>
      <c r="Q10" s="1738"/>
      <c r="R10" s="1738"/>
      <c r="S10" s="1738"/>
      <c r="T10" s="1738"/>
      <c r="U10" s="1738"/>
      <c r="V10" s="1739"/>
      <c r="W10" s="1557"/>
      <c r="X10" s="1740">
        <v>281</v>
      </c>
      <c r="Y10" s="1557"/>
      <c r="Z10" s="1738"/>
      <c r="AB10" s="1738"/>
      <c r="AC10" s="1557"/>
      <c r="AD10" s="1738"/>
      <c r="AE10" s="1557"/>
      <c r="AF10" s="1738"/>
      <c r="AG10" s="1557"/>
      <c r="AH10" s="1738"/>
      <c r="AI10" s="1544"/>
    </row>
    <row r="11" spans="1:35">
      <c r="A11" s="1557"/>
      <c r="B11" s="1738" t="s">
        <v>1706</v>
      </c>
      <c r="C11" s="1738"/>
      <c r="D11" s="1738"/>
      <c r="E11" s="1738"/>
      <c r="F11" s="1738"/>
      <c r="G11" s="1738"/>
      <c r="H11" s="1738"/>
      <c r="I11" s="1738"/>
      <c r="J11" s="1738"/>
      <c r="K11" s="1738"/>
      <c r="L11" s="1738"/>
      <c r="M11" s="1738"/>
      <c r="N11" s="1738"/>
      <c r="O11" s="1738"/>
      <c r="P11" s="1739"/>
      <c r="Q11" s="1738"/>
      <c r="R11" s="1738"/>
      <c r="S11" s="1738"/>
      <c r="T11" s="1738"/>
      <c r="U11" s="1738"/>
      <c r="V11" s="1739"/>
      <c r="W11" s="1557"/>
      <c r="X11" s="1740">
        <v>282</v>
      </c>
      <c r="Y11" s="1557"/>
      <c r="Z11" s="1738"/>
      <c r="AB11" s="1738"/>
      <c r="AC11" s="1557"/>
      <c r="AD11" s="1738"/>
      <c r="AE11" s="1557"/>
      <c r="AF11" s="1738"/>
      <c r="AG11" s="1557"/>
      <c r="AH11" s="1738"/>
      <c r="AI11" s="1544"/>
    </row>
    <row r="12" spans="1:35">
      <c r="A12" s="1557"/>
      <c r="B12" s="1741" t="s">
        <v>1707</v>
      </c>
      <c r="C12" s="1741"/>
      <c r="D12" s="1741"/>
      <c r="E12" s="1741"/>
      <c r="F12" s="1741"/>
      <c r="G12" s="1741"/>
      <c r="H12" s="1741"/>
      <c r="I12" s="1741"/>
      <c r="J12" s="1741"/>
      <c r="K12" s="1741"/>
      <c r="L12" s="1741"/>
      <c r="M12" s="1741"/>
      <c r="N12" s="1741"/>
      <c r="O12" s="1741"/>
      <c r="P12" s="1742"/>
      <c r="Q12" s="1741"/>
      <c r="R12" s="1741"/>
      <c r="S12" s="1741"/>
      <c r="T12" s="1741"/>
      <c r="U12" s="1741"/>
      <c r="V12" s="1742"/>
      <c r="W12" s="1557"/>
      <c r="X12" s="1743">
        <v>283</v>
      </c>
      <c r="Y12" s="1557"/>
      <c r="Z12" s="1741"/>
      <c r="AB12" s="1741"/>
      <c r="AC12" s="1557"/>
      <c r="AD12" s="1741"/>
      <c r="AE12" s="1557"/>
      <c r="AF12" s="1741"/>
      <c r="AG12" s="1557"/>
      <c r="AH12" s="1741"/>
      <c r="AI12" s="1544"/>
    </row>
    <row r="13" spans="1:35">
      <c r="A13" s="1557"/>
      <c r="B13" s="1744" t="s">
        <v>2038</v>
      </c>
      <c r="C13" s="1744"/>
      <c r="D13" s="1744"/>
      <c r="E13" s="1744"/>
      <c r="F13" s="1744"/>
      <c r="G13" s="1744"/>
      <c r="H13" s="1744"/>
      <c r="I13" s="1744"/>
      <c r="J13" s="1744"/>
      <c r="K13" s="1744"/>
      <c r="L13" s="1744"/>
      <c r="M13" s="1744"/>
      <c r="N13" s="1735"/>
      <c r="O13" s="1735"/>
      <c r="P13" s="1745"/>
      <c r="Q13" s="1744"/>
      <c r="R13" s="1744"/>
      <c r="S13" s="1744"/>
      <c r="T13" s="1735"/>
      <c r="U13" s="1735"/>
      <c r="V13" s="1745"/>
      <c r="W13" s="1557"/>
      <c r="X13" s="1746"/>
      <c r="Y13" s="1555"/>
      <c r="Z13" s="1744"/>
      <c r="AB13" s="1744"/>
      <c r="AC13" s="1555"/>
      <c r="AD13" s="1744"/>
      <c r="AE13" s="1555"/>
      <c r="AF13" s="1744"/>
      <c r="AG13" s="1555"/>
      <c r="AH13" s="1744"/>
      <c r="AI13" s="1544"/>
    </row>
    <row r="14" spans="1:35">
      <c r="A14" s="1557"/>
      <c r="B14" s="1738" t="s">
        <v>1708</v>
      </c>
      <c r="C14" s="1738"/>
      <c r="D14" s="1738"/>
      <c r="E14" s="1738"/>
      <c r="F14" s="1738"/>
      <c r="G14" s="1738"/>
      <c r="H14" s="1738"/>
      <c r="I14" s="1738"/>
      <c r="J14" s="1738"/>
      <c r="K14" s="1738"/>
      <c r="L14" s="1738"/>
      <c r="M14" s="1738"/>
      <c r="N14" s="1738"/>
      <c r="O14" s="1738"/>
      <c r="P14" s="1747"/>
      <c r="Q14" s="1738"/>
      <c r="R14" s="1738"/>
      <c r="S14" s="1738"/>
      <c r="T14" s="1738"/>
      <c r="U14" s="1738"/>
      <c r="V14" s="1747"/>
      <c r="W14" s="1557"/>
      <c r="X14" s="1748">
        <v>182</v>
      </c>
      <c r="Y14" s="1557"/>
      <c r="Z14" s="1738"/>
      <c r="AB14" s="1738"/>
      <c r="AC14" s="1557"/>
      <c r="AD14" s="1738"/>
      <c r="AE14" s="1557"/>
      <c r="AF14" s="1738"/>
      <c r="AG14" s="1557"/>
      <c r="AH14" s="1738"/>
      <c r="AI14" s="1544"/>
    </row>
    <row r="15" spans="1:35">
      <c r="A15" s="1557"/>
      <c r="B15" s="1741" t="s">
        <v>1709</v>
      </c>
      <c r="C15" s="1741"/>
      <c r="D15" s="1741"/>
      <c r="E15" s="1741"/>
      <c r="F15" s="1741"/>
      <c r="G15" s="1741"/>
      <c r="H15" s="1741"/>
      <c r="I15" s="1741"/>
      <c r="J15" s="1741"/>
      <c r="K15" s="1741"/>
      <c r="L15" s="1741"/>
      <c r="M15" s="1741"/>
      <c r="N15" s="1741"/>
      <c r="O15" s="1741"/>
      <c r="P15" s="1749"/>
      <c r="Q15" s="1741"/>
      <c r="R15" s="1741"/>
      <c r="S15" s="1741"/>
      <c r="T15" s="1741"/>
      <c r="U15" s="1741"/>
      <c r="V15" s="1749"/>
      <c r="W15" s="1557"/>
      <c r="X15" s="1750">
        <v>254</v>
      </c>
      <c r="Y15" s="1557"/>
      <c r="Z15" s="1741"/>
      <c r="AB15" s="1741"/>
      <c r="AC15" s="1557"/>
      <c r="AD15" s="1741"/>
      <c r="AE15" s="1557"/>
      <c r="AF15" s="1741"/>
      <c r="AG15" s="1557"/>
      <c r="AH15" s="1741"/>
      <c r="AI15" s="1544"/>
    </row>
    <row r="16" spans="1:35">
      <c r="A16" s="1557"/>
      <c r="B16" s="1744" t="s">
        <v>2039</v>
      </c>
      <c r="C16" s="1744"/>
      <c r="D16" s="1744"/>
      <c r="E16" s="1744"/>
      <c r="F16" s="1744"/>
      <c r="G16" s="1744"/>
      <c r="H16" s="1744"/>
      <c r="I16" s="1744"/>
      <c r="J16" s="1744"/>
      <c r="K16" s="1744"/>
      <c r="L16" s="1744"/>
      <c r="M16" s="1744"/>
      <c r="N16" s="1735"/>
      <c r="O16" s="1735"/>
      <c r="P16" s="1745"/>
      <c r="Q16" s="1744"/>
      <c r="R16" s="1744"/>
      <c r="S16" s="1744"/>
      <c r="T16" s="1735"/>
      <c r="U16" s="1735"/>
      <c r="V16" s="1745"/>
      <c r="W16" s="1557"/>
      <c r="X16" s="1746"/>
      <c r="Y16" s="1555"/>
      <c r="Z16" s="1744"/>
      <c r="AB16" s="1744"/>
      <c r="AC16" s="1555"/>
      <c r="AD16" s="1744"/>
      <c r="AE16" s="1555"/>
      <c r="AF16" s="1744"/>
      <c r="AG16" s="1555"/>
      <c r="AH16" s="1744"/>
      <c r="AI16" s="1544"/>
    </row>
    <row r="17" spans="1:35">
      <c r="A17" s="1557"/>
      <c r="B17" s="1741" t="s">
        <v>1710</v>
      </c>
      <c r="C17" s="1741"/>
      <c r="D17" s="1741"/>
      <c r="E17" s="1741"/>
      <c r="F17" s="1741"/>
      <c r="G17" s="1741"/>
      <c r="H17" s="1741"/>
      <c r="I17" s="1741"/>
      <c r="J17" s="1741"/>
      <c r="K17" s="1741"/>
      <c r="L17" s="1741"/>
      <c r="M17" s="1741"/>
      <c r="N17" s="1741"/>
      <c r="O17" s="1741"/>
      <c r="P17" s="1742"/>
      <c r="Q17" s="1741"/>
      <c r="R17" s="1741"/>
      <c r="S17" s="1741"/>
      <c r="T17" s="1741"/>
      <c r="U17" s="1741"/>
      <c r="V17" s="1742"/>
      <c r="W17" s="1557"/>
      <c r="X17" s="1751"/>
      <c r="Y17" s="1557"/>
      <c r="Z17" s="1752"/>
      <c r="AB17" s="1752"/>
      <c r="AC17" s="1557"/>
      <c r="AD17" s="1741"/>
      <c r="AE17" s="1557"/>
      <c r="AF17" s="1741"/>
      <c r="AG17" s="1557"/>
      <c r="AH17" s="1741"/>
      <c r="AI17" s="1544"/>
    </row>
    <row r="18" spans="1:35">
      <c r="A18" s="1557"/>
      <c r="B18" s="1753" t="s">
        <v>2040</v>
      </c>
      <c r="C18" s="1753"/>
      <c r="D18" s="1753"/>
      <c r="E18" s="1753"/>
      <c r="F18" s="1753"/>
      <c r="G18" s="1753"/>
      <c r="H18" s="1753"/>
      <c r="I18" s="1753"/>
      <c r="J18" s="1753"/>
      <c r="K18" s="1754"/>
      <c r="L18" s="1753"/>
      <c r="M18" s="1753"/>
      <c r="N18" s="1754"/>
      <c r="O18" s="1754"/>
      <c r="P18" s="1755"/>
      <c r="Q18" s="1754"/>
      <c r="R18" s="1753"/>
      <c r="S18" s="1753"/>
      <c r="T18" s="1754"/>
      <c r="U18" s="1754"/>
      <c r="V18" s="1755"/>
      <c r="W18" s="1557"/>
      <c r="X18" s="1756">
        <v>254</v>
      </c>
      <c r="Y18" s="1555"/>
      <c r="Z18" s="1757"/>
      <c r="AB18" s="1757"/>
      <c r="AC18" s="1557"/>
      <c r="AD18" s="1753"/>
      <c r="AE18" s="1557"/>
      <c r="AF18" s="1753"/>
      <c r="AG18" s="1557"/>
      <c r="AH18" s="1753"/>
      <c r="AI18" s="1544"/>
    </row>
    <row r="19" spans="1:35">
      <c r="A19" s="1557"/>
      <c r="B19" s="1557"/>
      <c r="C19" s="1557"/>
      <c r="D19" s="1557"/>
      <c r="E19" s="1557"/>
      <c r="F19" s="1557"/>
      <c r="G19" s="1557"/>
      <c r="H19" s="1557"/>
      <c r="I19" s="1557"/>
      <c r="J19" s="1557"/>
      <c r="K19" s="1557"/>
      <c r="L19" s="1557"/>
      <c r="M19" s="1557"/>
      <c r="N19" s="1557"/>
      <c r="O19" s="1557"/>
      <c r="P19" s="1557"/>
      <c r="Q19" s="1557"/>
      <c r="R19" s="1557"/>
      <c r="S19" s="1557"/>
      <c r="T19" s="1557"/>
      <c r="U19" s="1557"/>
      <c r="V19" s="1557"/>
      <c r="W19" s="1557"/>
      <c r="X19" s="1557"/>
      <c r="Y19" s="1557"/>
      <c r="Z19" s="1557"/>
      <c r="AA19" s="1557"/>
      <c r="AB19" s="1557"/>
      <c r="AC19" s="1557"/>
      <c r="AD19" s="1557"/>
      <c r="AE19" s="1557"/>
      <c r="AF19" s="1557"/>
      <c r="AG19" s="1557"/>
      <c r="AH19" s="1557"/>
      <c r="AI19" s="1544"/>
    </row>
    <row r="20" spans="1:35">
      <c r="A20" s="1557"/>
      <c r="B20" s="1557"/>
      <c r="C20" s="1557"/>
      <c r="D20" s="1557"/>
      <c r="E20" s="1557"/>
      <c r="F20" s="1557"/>
      <c r="G20" s="1557"/>
      <c r="H20" s="1557"/>
      <c r="I20" s="1557"/>
      <c r="J20" s="1557"/>
      <c r="K20" s="1557"/>
      <c r="L20" s="1557"/>
      <c r="M20" s="1557"/>
      <c r="N20" s="1557"/>
      <c r="O20" s="1557"/>
      <c r="P20" s="1557"/>
      <c r="Q20" s="1557"/>
      <c r="R20" s="1557"/>
      <c r="S20" s="1557"/>
      <c r="T20" s="1557"/>
      <c r="U20" s="1557"/>
      <c r="V20" s="1557"/>
      <c r="W20" s="1557"/>
      <c r="X20" s="1557"/>
      <c r="Y20" s="1557"/>
      <c r="Z20" s="1557"/>
      <c r="AA20" s="1557"/>
      <c r="AB20" s="1557"/>
      <c r="AC20" s="1557"/>
      <c r="AD20" s="1557"/>
      <c r="AE20" s="1557"/>
      <c r="AF20" s="1557"/>
      <c r="AG20" s="1557"/>
      <c r="AH20" s="1557"/>
      <c r="AI20" s="1544"/>
    </row>
    <row r="21" spans="1:35">
      <c r="A21" s="1557"/>
      <c r="B21" s="1557"/>
      <c r="C21" s="1557"/>
      <c r="D21" s="1557"/>
      <c r="E21" s="1557"/>
      <c r="F21" s="1557"/>
      <c r="G21" s="1557"/>
      <c r="H21" s="1557"/>
      <c r="I21" s="1557"/>
      <c r="J21" s="1557"/>
      <c r="K21" s="1557"/>
      <c r="L21" s="1557"/>
      <c r="M21" s="1557"/>
      <c r="N21" s="1557"/>
      <c r="O21" s="1557"/>
      <c r="P21" s="1557"/>
      <c r="Q21" s="1557"/>
      <c r="R21" s="1557"/>
      <c r="S21" s="1557"/>
      <c r="T21" s="1557"/>
      <c r="U21" s="1557"/>
      <c r="V21" s="1557"/>
      <c r="W21" s="1557"/>
      <c r="X21" s="1557"/>
      <c r="Y21" s="1557"/>
      <c r="Z21" s="1557"/>
      <c r="AA21" s="1557"/>
      <c r="AB21" s="1557"/>
      <c r="AC21" s="1557"/>
      <c r="AD21" s="1557"/>
      <c r="AE21" s="1557"/>
      <c r="AF21" s="1557"/>
      <c r="AG21" s="1557"/>
      <c r="AH21" s="1557"/>
      <c r="AI21" s="1544"/>
    </row>
    <row r="22" spans="1:35">
      <c r="A22" s="1557"/>
      <c r="B22" s="1758" t="s">
        <v>2043</v>
      </c>
      <c r="C22" s="1758"/>
      <c r="D22" s="1758"/>
      <c r="E22" s="1758"/>
      <c r="F22" s="1758"/>
      <c r="G22" s="1758"/>
      <c r="H22" s="1758"/>
      <c r="I22" s="1758"/>
      <c r="J22" s="1758"/>
      <c r="K22" s="1758"/>
      <c r="L22" s="1758"/>
      <c r="M22" s="1758"/>
      <c r="N22" s="1759"/>
      <c r="O22" s="1759"/>
      <c r="P22" s="1759"/>
      <c r="Q22" s="1758"/>
      <c r="R22" s="1758"/>
      <c r="S22" s="1758"/>
      <c r="T22" s="1759"/>
      <c r="U22" s="1759"/>
      <c r="V22" s="1759"/>
      <c r="W22" s="1758"/>
      <c r="X22" s="1758"/>
      <c r="Y22" s="1758"/>
      <c r="Z22" s="1759"/>
      <c r="AA22" s="1759"/>
      <c r="AB22" s="1759"/>
      <c r="AC22" s="1760"/>
      <c r="AD22" s="1760"/>
      <c r="AE22" s="1761"/>
      <c r="AF22" s="1760"/>
      <c r="AG22" s="1760"/>
      <c r="AH22" s="1760"/>
      <c r="AI22" s="1544"/>
    </row>
    <row r="23" spans="1:35">
      <c r="A23" s="1557"/>
      <c r="B23" s="1753" t="s">
        <v>284</v>
      </c>
      <c r="C23" s="1753"/>
      <c r="D23" s="1753"/>
      <c r="E23" s="1753"/>
      <c r="F23" s="1753"/>
      <c r="G23" s="1753"/>
      <c r="H23" s="1753"/>
      <c r="I23" s="1753"/>
      <c r="J23" s="1753"/>
      <c r="K23" s="1754"/>
      <c r="L23" s="1753"/>
      <c r="M23" s="1753"/>
      <c r="N23" s="1754"/>
      <c r="O23" s="1754"/>
      <c r="P23" s="1754"/>
      <c r="Q23" s="1754"/>
      <c r="R23" s="1753"/>
      <c r="S23" s="1753"/>
      <c r="T23" s="1754"/>
      <c r="U23" s="1754"/>
      <c r="V23" s="1754"/>
      <c r="W23" s="1754"/>
      <c r="X23" s="1753"/>
      <c r="Y23" s="1753"/>
      <c r="Z23" s="1754"/>
      <c r="AA23" s="1754"/>
      <c r="AB23" s="1754"/>
      <c r="AC23" s="1557"/>
      <c r="AD23" s="1762" t="s">
        <v>111</v>
      </c>
      <c r="AE23" s="1557"/>
      <c r="AF23" s="1762" t="s">
        <v>1702</v>
      </c>
      <c r="AG23" s="1557"/>
      <c r="AH23" s="1762" t="s">
        <v>1703</v>
      </c>
      <c r="AI23" s="1544"/>
    </row>
    <row r="24" spans="1:35">
      <c r="A24" s="1557"/>
      <c r="B24" s="1735" t="s">
        <v>1678</v>
      </c>
      <c r="C24" s="1735"/>
      <c r="D24" s="1735"/>
      <c r="E24" s="1735"/>
      <c r="F24" s="1735"/>
      <c r="G24" s="1735"/>
      <c r="H24" s="1735"/>
      <c r="I24" s="1735"/>
      <c r="J24" s="1735"/>
      <c r="K24" s="1735"/>
      <c r="L24" s="1735"/>
      <c r="M24" s="1735"/>
      <c r="N24" s="1735"/>
      <c r="O24" s="1735"/>
      <c r="P24" s="1735"/>
      <c r="Q24" s="1735"/>
      <c r="R24" s="1735"/>
      <c r="S24" s="1735"/>
      <c r="T24" s="1735"/>
      <c r="U24" s="1735"/>
      <c r="V24" s="1735"/>
      <c r="W24" s="1735"/>
      <c r="X24" s="1735"/>
      <c r="Y24" s="1735"/>
      <c r="Z24" s="1735"/>
      <c r="AA24" s="1735"/>
      <c r="AB24" s="1735"/>
      <c r="AC24" s="1544"/>
      <c r="AD24" s="1735"/>
      <c r="AE24" s="1544" t="s">
        <v>230</v>
      </c>
      <c r="AF24" s="1735"/>
      <c r="AG24" s="1543" t="s">
        <v>233</v>
      </c>
      <c r="AH24" s="1735"/>
      <c r="AI24" s="1521" t="s">
        <v>235</v>
      </c>
    </row>
    <row r="25" spans="1:35">
      <c r="A25" s="1557"/>
      <c r="B25" s="1741" t="s">
        <v>895</v>
      </c>
      <c r="C25" s="1741"/>
      <c r="D25" s="1741"/>
      <c r="E25" s="1741"/>
      <c r="F25" s="1741"/>
      <c r="G25" s="1741"/>
      <c r="H25" s="1741"/>
      <c r="I25" s="1741"/>
      <c r="J25" s="1741"/>
      <c r="K25" s="1741"/>
      <c r="L25" s="1741"/>
      <c r="M25" s="1741"/>
      <c r="N25" s="1741"/>
      <c r="O25" s="1741"/>
      <c r="P25" s="1741"/>
      <c r="Q25" s="1741"/>
      <c r="R25" s="1741"/>
      <c r="S25" s="1741"/>
      <c r="T25" s="1741"/>
      <c r="U25" s="1741"/>
      <c r="V25" s="1741"/>
      <c r="W25" s="1741"/>
      <c r="X25" s="1741"/>
      <c r="Y25" s="1741"/>
      <c r="Z25" s="1741"/>
      <c r="AA25" s="1741"/>
      <c r="AB25" s="1741"/>
      <c r="AC25" s="1557"/>
      <c r="AD25" s="1741"/>
      <c r="AE25" s="1557"/>
      <c r="AF25" s="1741"/>
      <c r="AG25" s="1557"/>
      <c r="AH25" s="1741"/>
      <c r="AI25" s="1544"/>
    </row>
    <row r="26" spans="1:35">
      <c r="A26" s="1557"/>
      <c r="B26" s="1753" t="s">
        <v>2044</v>
      </c>
      <c r="C26" s="1753"/>
      <c r="D26" s="1753"/>
      <c r="E26" s="1753"/>
      <c r="F26" s="1753"/>
      <c r="G26" s="1753"/>
      <c r="H26" s="1753"/>
      <c r="I26" s="1753"/>
      <c r="J26" s="1753"/>
      <c r="K26" s="1753"/>
      <c r="L26" s="1753"/>
      <c r="M26" s="1753"/>
      <c r="N26" s="1754"/>
      <c r="O26" s="1754"/>
      <c r="P26" s="1754"/>
      <c r="Q26" s="1753"/>
      <c r="R26" s="1753"/>
      <c r="S26" s="1753"/>
      <c r="T26" s="1754"/>
      <c r="U26" s="1754"/>
      <c r="V26" s="1754"/>
      <c r="W26" s="1753"/>
      <c r="X26" s="1753"/>
      <c r="Y26" s="1753"/>
      <c r="Z26" s="1754"/>
      <c r="AA26" s="1754"/>
      <c r="AB26" s="1754"/>
      <c r="AC26" s="1555"/>
      <c r="AD26" s="1753"/>
      <c r="AE26" s="1557"/>
      <c r="AF26" s="1753"/>
      <c r="AG26" s="1555"/>
      <c r="AH26" s="1753"/>
      <c r="AI26" s="1544"/>
    </row>
    <row r="27" spans="1:35">
      <c r="A27" s="1557"/>
      <c r="B27" s="1557"/>
      <c r="C27" s="1557"/>
      <c r="D27" s="1557"/>
      <c r="E27" s="1557"/>
      <c r="F27" s="1557"/>
      <c r="G27" s="1557"/>
      <c r="H27" s="1557"/>
      <c r="I27" s="1557"/>
      <c r="J27" s="1557"/>
      <c r="K27" s="1557"/>
      <c r="L27" s="1557"/>
      <c r="M27" s="1557"/>
      <c r="N27" s="1557"/>
      <c r="O27" s="1557"/>
      <c r="P27" s="1557"/>
      <c r="Q27" s="1557"/>
      <c r="R27" s="1557"/>
      <c r="S27" s="1557"/>
      <c r="T27" s="1557"/>
      <c r="U27" s="1557"/>
      <c r="V27" s="1557"/>
      <c r="W27" s="1557"/>
      <c r="X27" s="1557"/>
      <c r="Y27" s="1557"/>
      <c r="Z27" s="1557"/>
      <c r="AA27" s="1557"/>
      <c r="AB27" s="1557"/>
      <c r="AC27" s="1557"/>
      <c r="AD27" s="1557"/>
      <c r="AE27" s="1557"/>
      <c r="AF27" s="1557"/>
      <c r="AG27" s="1557"/>
      <c r="AH27" s="1557"/>
      <c r="AI27" s="1544"/>
    </row>
    <row r="28" spans="1:35">
      <c r="A28" s="1557"/>
      <c r="B28" s="1521" t="s">
        <v>230</v>
      </c>
      <c r="C28" s="321" t="s">
        <v>1895</v>
      </c>
      <c r="D28" s="1557"/>
      <c r="E28" s="1557"/>
      <c r="F28" s="1557"/>
      <c r="G28" s="1557"/>
      <c r="H28" s="1557"/>
      <c r="I28" s="1557"/>
      <c r="J28" s="1557"/>
      <c r="K28" s="1557"/>
      <c r="L28" s="1557"/>
      <c r="M28" s="1557"/>
      <c r="N28" s="1557"/>
      <c r="O28" s="1557"/>
      <c r="P28" s="1557"/>
      <c r="Q28" s="1557"/>
      <c r="R28" s="1557"/>
      <c r="S28" s="1557"/>
      <c r="T28" s="1557"/>
      <c r="U28" s="1557"/>
      <c r="V28" s="1557"/>
      <c r="W28" s="1557"/>
      <c r="X28" s="1557"/>
      <c r="Y28" s="1557"/>
      <c r="Z28" s="1557"/>
      <c r="AA28" s="1557"/>
      <c r="AB28" s="1557"/>
      <c r="AC28" s="1557"/>
      <c r="AD28" s="1557"/>
      <c r="AE28" s="1557"/>
      <c r="AF28" s="1557"/>
      <c r="AG28" s="1557"/>
      <c r="AH28" s="1557"/>
      <c r="AI28" s="1544"/>
    </row>
    <row r="29" spans="1:35">
      <c r="A29" s="1557"/>
      <c r="B29" s="1521" t="s">
        <v>233</v>
      </c>
      <c r="C29" s="321" t="s">
        <v>1896</v>
      </c>
      <c r="D29" s="1557"/>
      <c r="E29" s="1557"/>
      <c r="F29" s="1557"/>
      <c r="G29" s="1557"/>
      <c r="H29" s="1557"/>
      <c r="I29" s="1557"/>
      <c r="J29" s="1557"/>
      <c r="K29" s="1557"/>
      <c r="L29" s="1557"/>
      <c r="M29" s="1557"/>
      <c r="N29" s="1557"/>
      <c r="O29" s="1557"/>
      <c r="P29" s="1557"/>
      <c r="Q29" s="1557"/>
      <c r="R29" s="1557"/>
      <c r="S29" s="1557"/>
      <c r="T29" s="1557"/>
      <c r="U29" s="1557"/>
      <c r="V29" s="1557"/>
      <c r="W29" s="1557"/>
      <c r="X29" s="1557"/>
      <c r="Y29" s="1557"/>
      <c r="Z29" s="1557"/>
      <c r="AA29" s="1557"/>
      <c r="AB29" s="1557"/>
      <c r="AC29" s="1557"/>
      <c r="AD29" s="1557"/>
      <c r="AE29" s="1557"/>
      <c r="AF29" s="1557"/>
      <c r="AG29" s="1557"/>
      <c r="AH29" s="1557"/>
      <c r="AI29" s="1544"/>
    </row>
    <row r="30" spans="1:35">
      <c r="A30" s="1557"/>
      <c r="B30" s="1521" t="s">
        <v>235</v>
      </c>
      <c r="C30" s="321" t="s">
        <v>1897</v>
      </c>
      <c r="D30" s="1557"/>
      <c r="E30" s="1557"/>
      <c r="F30" s="1557"/>
      <c r="G30" s="1557"/>
      <c r="H30" s="1557"/>
      <c r="I30" s="1557"/>
      <c r="J30" s="1557"/>
      <c r="K30" s="1557"/>
      <c r="L30" s="1557"/>
      <c r="M30" s="1557"/>
      <c r="N30" s="1557"/>
      <c r="O30" s="1557"/>
      <c r="P30" s="1557"/>
      <c r="Q30" s="1557"/>
      <c r="R30" s="1557"/>
      <c r="S30" s="1557"/>
      <c r="T30" s="1557"/>
      <c r="U30" s="1557"/>
      <c r="V30" s="1557"/>
      <c r="W30" s="1557"/>
      <c r="X30" s="1557"/>
      <c r="Y30" s="1557"/>
      <c r="Z30" s="1557"/>
      <c r="AA30" s="1557"/>
      <c r="AB30" s="1557"/>
      <c r="AC30" s="1557"/>
      <c r="AD30" s="1557"/>
      <c r="AE30" s="1557"/>
      <c r="AF30" s="1557"/>
      <c r="AG30" s="1557"/>
      <c r="AH30" s="1557"/>
      <c r="AI30" s="1544"/>
    </row>
    <row r="31" spans="1:35">
      <c r="A31" s="1557"/>
      <c r="B31" s="1557"/>
      <c r="C31" s="1557"/>
      <c r="D31" s="1557"/>
      <c r="E31" s="1557"/>
      <c r="F31" s="1557"/>
      <c r="G31" s="1557"/>
      <c r="H31" s="1557"/>
      <c r="I31" s="1557"/>
      <c r="J31" s="1557"/>
      <c r="K31" s="1557"/>
      <c r="L31" s="1557"/>
      <c r="M31" s="1557"/>
      <c r="N31" s="1557"/>
      <c r="O31" s="1557"/>
      <c r="P31" s="1557"/>
      <c r="Q31" s="1557"/>
      <c r="R31" s="1557"/>
      <c r="S31" s="1557"/>
      <c r="T31" s="1557"/>
      <c r="U31" s="1557"/>
      <c r="V31" s="1557"/>
      <c r="W31" s="1557"/>
      <c r="X31" s="1557"/>
      <c r="Y31" s="1557"/>
      <c r="Z31" s="1557"/>
      <c r="AA31" s="1557"/>
      <c r="AB31" s="1557"/>
      <c r="AC31" s="1557"/>
      <c r="AD31" s="1557"/>
      <c r="AE31" s="1557"/>
      <c r="AF31" s="1557"/>
      <c r="AG31" s="1557"/>
      <c r="AH31" s="1557"/>
      <c r="AI31" s="1544"/>
    </row>
    <row r="32" spans="1:35">
      <c r="A32" s="1557"/>
      <c r="B32" s="1557"/>
      <c r="C32" s="1557"/>
      <c r="D32" s="1557"/>
      <c r="E32" s="1557"/>
      <c r="F32" s="1557"/>
      <c r="G32" s="1557"/>
      <c r="H32" s="1557"/>
      <c r="I32" s="1557"/>
      <c r="J32" s="1557"/>
      <c r="K32" s="1557"/>
      <c r="L32" s="1557"/>
      <c r="M32" s="1557"/>
      <c r="N32" s="1557"/>
      <c r="O32" s="1557"/>
      <c r="P32" s="1557"/>
      <c r="Q32" s="1557"/>
      <c r="R32" s="1557"/>
      <c r="S32" s="1557"/>
      <c r="T32" s="1557"/>
      <c r="U32" s="1557"/>
      <c r="V32" s="1557"/>
      <c r="W32" s="1557"/>
      <c r="X32" s="1557"/>
      <c r="Y32" s="1557"/>
      <c r="Z32" s="1557"/>
      <c r="AA32" s="1557"/>
      <c r="AB32" s="1557"/>
      <c r="AC32" s="1557"/>
      <c r="AD32" s="1557"/>
      <c r="AE32" s="1557"/>
      <c r="AF32" s="1557"/>
      <c r="AG32" s="1557"/>
      <c r="AH32" s="1557"/>
      <c r="AI32" s="1544"/>
    </row>
    <row r="33" spans="1:46" ht="12.75" customHeight="1">
      <c r="A33" s="1557"/>
      <c r="B33" s="1763" t="s">
        <v>2045</v>
      </c>
      <c r="C33" s="1760"/>
      <c r="D33" s="1760"/>
      <c r="E33" s="1760"/>
      <c r="F33" s="1760"/>
      <c r="G33" s="1760"/>
      <c r="H33" s="1760"/>
      <c r="I33" s="1760"/>
      <c r="J33" s="1760"/>
      <c r="K33" s="1760"/>
      <c r="L33" s="1760"/>
      <c r="M33" s="1760"/>
      <c r="N33" s="1760"/>
      <c r="O33" s="1760"/>
      <c r="P33" s="1760"/>
      <c r="Q33" s="1760"/>
      <c r="R33" s="1760"/>
      <c r="S33" s="1760"/>
      <c r="T33" s="1760"/>
      <c r="U33" s="1760"/>
      <c r="V33" s="1760"/>
      <c r="W33" s="1760"/>
      <c r="X33" s="1760"/>
      <c r="Y33" s="1760"/>
      <c r="Z33" s="1760"/>
      <c r="AA33" s="1760"/>
      <c r="AB33" s="1760"/>
      <c r="AC33" s="1760"/>
      <c r="AD33" s="1760"/>
      <c r="AE33" s="1760"/>
      <c r="AF33" s="1760"/>
      <c r="AG33" s="1760"/>
      <c r="AH33" s="1760"/>
      <c r="AI33" s="1544"/>
      <c r="AJ33" s="1939" t="s">
        <v>2036</v>
      </c>
      <c r="AK33" s="1940"/>
      <c r="AL33" s="1940"/>
      <c r="AM33" s="1940"/>
      <c r="AN33" s="1940"/>
      <c r="AO33" s="1940"/>
      <c r="AP33" s="1940"/>
      <c r="AQ33" s="1940"/>
      <c r="AR33" s="1940"/>
      <c r="AS33" s="1940"/>
      <c r="AT33" s="1940"/>
    </row>
    <row r="34" spans="1:46" ht="12.75" customHeight="1">
      <c r="A34" s="1557"/>
      <c r="B34" s="1554" t="s">
        <v>1678</v>
      </c>
      <c r="C34" s="1764"/>
      <c r="D34" s="1764"/>
      <c r="E34" s="1764"/>
      <c r="F34" s="1764"/>
      <c r="G34" s="1764"/>
      <c r="H34" s="1764"/>
      <c r="I34" s="1554"/>
      <c r="J34" s="1554"/>
      <c r="K34" s="1554"/>
      <c r="L34" s="1764"/>
      <c r="M34" s="1764"/>
      <c r="N34" s="1554"/>
      <c r="O34" s="1554"/>
      <c r="P34" s="1554"/>
      <c r="Q34" s="1554"/>
      <c r="R34" s="1764"/>
      <c r="S34" s="1764"/>
      <c r="T34" s="1554"/>
      <c r="U34" s="1554"/>
      <c r="V34" s="1554"/>
      <c r="W34" s="1554"/>
      <c r="X34" s="1764"/>
      <c r="Y34" s="1764"/>
      <c r="Z34" s="1554"/>
      <c r="AA34" s="1554"/>
      <c r="AB34" s="1554"/>
      <c r="AC34" s="1556"/>
      <c r="AD34" s="1765" t="s">
        <v>1713</v>
      </c>
      <c r="AE34" s="1766"/>
      <c r="AF34" s="1766"/>
      <c r="AG34" s="1766"/>
      <c r="AH34" s="1766"/>
      <c r="AI34" s="1544"/>
      <c r="AJ34" s="1941"/>
      <c r="AK34" s="1941"/>
      <c r="AL34" s="1941"/>
      <c r="AM34" s="1941"/>
      <c r="AN34" s="1941"/>
      <c r="AO34" s="1941"/>
      <c r="AP34" s="1941"/>
      <c r="AQ34" s="1941"/>
      <c r="AR34" s="1941"/>
      <c r="AS34" s="1941"/>
      <c r="AT34" s="1941"/>
    </row>
    <row r="35" spans="1:46" ht="12.75" customHeight="1">
      <c r="B35" s="1767"/>
      <c r="C35" s="1768"/>
      <c r="D35" s="1769"/>
      <c r="E35" s="1769"/>
      <c r="F35" s="1769"/>
      <c r="G35" s="1769"/>
      <c r="H35" s="1760" t="s">
        <v>2046</v>
      </c>
      <c r="I35" s="1760"/>
      <c r="J35" s="1760"/>
      <c r="K35" s="1760"/>
      <c r="L35" s="1760"/>
      <c r="M35" s="1760"/>
      <c r="N35" s="1760"/>
      <c r="O35" s="1760"/>
      <c r="P35" s="1760"/>
      <c r="Q35" s="1760"/>
      <c r="R35" s="1760"/>
      <c r="S35" s="1760"/>
      <c r="T35" s="1760"/>
      <c r="U35" s="1760"/>
      <c r="V35" s="1760"/>
      <c r="W35" s="1770"/>
      <c r="X35" s="1561"/>
      <c r="Y35" s="1769"/>
      <c r="Z35" s="1758" t="s">
        <v>1703</v>
      </c>
      <c r="AA35" s="1758"/>
      <c r="AB35" s="1758"/>
      <c r="AC35" s="1556"/>
      <c r="AD35" s="1771"/>
      <c r="AE35" s="493"/>
      <c r="AF35" s="1772" t="s">
        <v>1801</v>
      </c>
      <c r="AG35" s="1772"/>
      <c r="AH35" s="1772"/>
      <c r="AI35" s="1544"/>
      <c r="AJ35" s="1941"/>
      <c r="AK35" s="1941"/>
      <c r="AL35" s="1941"/>
      <c r="AM35" s="1941"/>
      <c r="AN35" s="1941"/>
      <c r="AO35" s="1941"/>
      <c r="AP35" s="1941"/>
      <c r="AQ35" s="1941"/>
      <c r="AR35" s="1941"/>
      <c r="AS35" s="1941"/>
      <c r="AT35" s="1941"/>
    </row>
    <row r="36" spans="1:46" ht="12.75" customHeight="1">
      <c r="B36" s="1557"/>
      <c r="C36" s="1557"/>
      <c r="D36" s="1557"/>
      <c r="E36" s="1557"/>
      <c r="F36" s="1556" t="s">
        <v>1714</v>
      </c>
      <c r="G36" s="1557"/>
      <c r="H36" s="1554" t="s">
        <v>359</v>
      </c>
      <c r="I36" s="1554"/>
      <c r="J36" s="1554"/>
      <c r="K36" s="1555"/>
      <c r="L36" s="1556" t="s">
        <v>1714</v>
      </c>
      <c r="M36" s="1557"/>
      <c r="N36" s="1554" t="s">
        <v>1802</v>
      </c>
      <c r="O36" s="1554"/>
      <c r="P36" s="1554"/>
      <c r="Q36" s="1555"/>
      <c r="R36" s="1556" t="s">
        <v>1714</v>
      </c>
      <c r="S36" s="1557"/>
      <c r="T36" s="1554" t="s">
        <v>1343</v>
      </c>
      <c r="U36" s="1554"/>
      <c r="V36" s="1554"/>
      <c r="W36" s="1555"/>
      <c r="X36" s="1556" t="s">
        <v>1714</v>
      </c>
      <c r="Y36" s="1557"/>
      <c r="Z36" s="1554" t="s">
        <v>1803</v>
      </c>
      <c r="AA36" s="1554"/>
      <c r="AB36" s="1554"/>
      <c r="AC36" s="1556"/>
      <c r="AD36" s="1558" t="s">
        <v>1777</v>
      </c>
      <c r="AE36" s="1558"/>
      <c r="AF36" s="1765" t="s">
        <v>1803</v>
      </c>
      <c r="AG36" s="1773"/>
      <c r="AH36" s="1765"/>
      <c r="AI36" s="1544"/>
      <c r="AJ36" s="1942"/>
      <c r="AK36" s="1942"/>
      <c r="AL36" s="1942"/>
      <c r="AM36" s="1942"/>
      <c r="AN36" s="1942"/>
      <c r="AO36" s="1942"/>
      <c r="AP36" s="1942"/>
      <c r="AQ36" s="1942"/>
      <c r="AR36" s="1942"/>
      <c r="AS36" s="1942"/>
      <c r="AT36" s="1942"/>
    </row>
    <row r="37" spans="1:46">
      <c r="B37" s="1557"/>
      <c r="C37" s="1557"/>
      <c r="D37" s="1557"/>
      <c r="E37" s="1557"/>
      <c r="F37" s="1556" t="s">
        <v>1715</v>
      </c>
      <c r="G37" s="1557"/>
      <c r="H37" s="1761" t="s">
        <v>1898</v>
      </c>
      <c r="I37" s="1761"/>
      <c r="J37" s="1761"/>
      <c r="K37" s="1557"/>
      <c r="L37" s="1556" t="s">
        <v>1715</v>
      </c>
      <c r="M37" s="1557"/>
      <c r="N37" s="1761" t="s">
        <v>1898</v>
      </c>
      <c r="O37" s="1761"/>
      <c r="P37" s="1761"/>
      <c r="Q37" s="1557"/>
      <c r="R37" s="1556" t="s">
        <v>1715</v>
      </c>
      <c r="S37" s="1557"/>
      <c r="T37" s="1761" t="s">
        <v>1898</v>
      </c>
      <c r="U37" s="1761"/>
      <c r="V37" s="1761"/>
      <c r="W37" s="1557"/>
      <c r="X37" s="1556" t="s">
        <v>1715</v>
      </c>
      <c r="Y37" s="1557"/>
      <c r="Z37" s="1761" t="s">
        <v>1898</v>
      </c>
      <c r="AA37" s="1761"/>
      <c r="AB37" s="1761"/>
      <c r="AC37" s="1561"/>
      <c r="AD37" s="1559" t="s">
        <v>1778</v>
      </c>
      <c r="AE37" s="1558"/>
      <c r="AF37" s="321"/>
      <c r="AG37" s="321"/>
      <c r="AH37" s="1559" t="s">
        <v>858</v>
      </c>
      <c r="AI37" s="1544"/>
      <c r="AJ37" s="1546"/>
      <c r="AK37" s="1546"/>
      <c r="AL37" s="1546" t="s">
        <v>1710</v>
      </c>
      <c r="AN37" s="1546" t="s">
        <v>1886</v>
      </c>
      <c r="AP37" s="1546"/>
      <c r="AR37" s="1546" t="s">
        <v>1715</v>
      </c>
      <c r="AT37" s="1546" t="s">
        <v>1887</v>
      </c>
    </row>
    <row r="38" spans="1:46">
      <c r="B38" s="1561" t="s">
        <v>1716</v>
      </c>
      <c r="C38" s="1557"/>
      <c r="D38" s="1762" t="s">
        <v>789</v>
      </c>
      <c r="E38" s="1557"/>
      <c r="F38" s="1556" t="s">
        <v>1008</v>
      </c>
      <c r="G38" s="1557"/>
      <c r="H38" s="1774" t="s">
        <v>1717</v>
      </c>
      <c r="I38" s="1556" t="s">
        <v>175</v>
      </c>
      <c r="J38" s="1774" t="s">
        <v>1718</v>
      </c>
      <c r="K38" s="1557"/>
      <c r="L38" s="1556" t="s">
        <v>1008</v>
      </c>
      <c r="M38" s="1557"/>
      <c r="N38" s="1774" t="s">
        <v>1717</v>
      </c>
      <c r="O38" s="1556" t="s">
        <v>175</v>
      </c>
      <c r="P38" s="1774" t="s">
        <v>1718</v>
      </c>
      <c r="Q38" s="1557"/>
      <c r="R38" s="1556" t="s">
        <v>1008</v>
      </c>
      <c r="S38" s="1557"/>
      <c r="T38" s="1774" t="s">
        <v>1717</v>
      </c>
      <c r="U38" s="1556" t="s">
        <v>175</v>
      </c>
      <c r="V38" s="1774" t="s">
        <v>1718</v>
      </c>
      <c r="W38" s="1557"/>
      <c r="X38" s="1556" t="s">
        <v>1008</v>
      </c>
      <c r="Y38" s="1557"/>
      <c r="Z38" s="1774" t="s">
        <v>1717</v>
      </c>
      <c r="AA38" s="1556" t="s">
        <v>175</v>
      </c>
      <c r="AB38" s="1774" t="s">
        <v>1718</v>
      </c>
      <c r="AC38" s="1557"/>
      <c r="AD38" s="1558" t="s">
        <v>1779</v>
      </c>
      <c r="AE38" s="1558"/>
      <c r="AF38" s="1559" t="s">
        <v>1718</v>
      </c>
      <c r="AG38" s="321"/>
      <c r="AH38" s="1558" t="s">
        <v>1779</v>
      </c>
      <c r="AI38" s="1544"/>
      <c r="AJ38" s="1517" t="s">
        <v>1888</v>
      </c>
      <c r="AK38" s="1546"/>
      <c r="AL38" s="1517" t="s">
        <v>1889</v>
      </c>
      <c r="AN38" s="1517" t="s">
        <v>1887</v>
      </c>
      <c r="AP38" s="1517" t="s">
        <v>1890</v>
      </c>
      <c r="AR38" s="1517" t="s">
        <v>1891</v>
      </c>
      <c r="AT38" s="1517" t="s">
        <v>1892</v>
      </c>
    </row>
    <row r="39" spans="1:46">
      <c r="B39" s="1775">
        <v>1</v>
      </c>
      <c r="C39" s="1557"/>
      <c r="D39" s="1776"/>
      <c r="E39" s="1544"/>
      <c r="F39" s="1788"/>
      <c r="G39" s="1544"/>
      <c r="H39" s="1789"/>
      <c r="I39" s="1544"/>
      <c r="J39" s="1789"/>
      <c r="K39" s="1544"/>
      <c r="L39" s="1788"/>
      <c r="M39" s="1544"/>
      <c r="N39" s="1789"/>
      <c r="O39" s="1544"/>
      <c r="P39" s="1789"/>
      <c r="Q39" s="1544"/>
      <c r="R39" s="1788"/>
      <c r="S39" s="1544"/>
      <c r="T39" s="1789"/>
      <c r="U39" s="1544"/>
      <c r="V39" s="1789"/>
      <c r="W39" s="1544"/>
      <c r="X39" s="1788"/>
      <c r="Y39" s="1544"/>
      <c r="Z39" s="1789"/>
      <c r="AA39" s="1544"/>
      <c r="AB39" s="1789"/>
      <c r="AC39" s="1544"/>
      <c r="AD39" s="1789"/>
      <c r="AE39" s="1544"/>
      <c r="AF39" s="1789"/>
      <c r="AG39" s="1544"/>
      <c r="AH39" s="1789"/>
      <c r="AI39" s="1521"/>
      <c r="AJ39" s="1779"/>
      <c r="AK39" s="1780"/>
      <c r="AL39" s="1779"/>
      <c r="AN39" s="1778"/>
      <c r="AP39" s="1778"/>
      <c r="AR39" s="1778"/>
      <c r="AT39" s="1778"/>
    </row>
    <row r="40" spans="1:46">
      <c r="B40" s="1781">
        <v>2</v>
      </c>
      <c r="C40" s="1557"/>
      <c r="D40" s="1782"/>
      <c r="E40" s="1544"/>
      <c r="F40" s="1790"/>
      <c r="G40" s="1544"/>
      <c r="H40" s="1791"/>
      <c r="I40" s="1544"/>
      <c r="J40" s="1791"/>
      <c r="K40" s="1544"/>
      <c r="L40" s="1790"/>
      <c r="M40" s="1544"/>
      <c r="N40" s="1791"/>
      <c r="O40" s="1544"/>
      <c r="P40" s="1791"/>
      <c r="Q40" s="1544"/>
      <c r="R40" s="1790"/>
      <c r="S40" s="1544"/>
      <c r="T40" s="1791"/>
      <c r="U40" s="1544"/>
      <c r="V40" s="1791"/>
      <c r="W40" s="1544"/>
      <c r="X40" s="1790"/>
      <c r="Y40" s="1544"/>
      <c r="Z40" s="1791"/>
      <c r="AA40" s="1544"/>
      <c r="AB40" s="1791"/>
      <c r="AC40" s="1544"/>
      <c r="AD40" s="1791"/>
      <c r="AE40" s="1544"/>
      <c r="AF40" s="1791"/>
      <c r="AG40" s="1544"/>
      <c r="AH40" s="1791"/>
      <c r="AI40" s="1521"/>
      <c r="AJ40" s="1783"/>
      <c r="AK40" s="1780"/>
      <c r="AL40" s="1783"/>
      <c r="AN40" s="1523"/>
      <c r="AP40" s="1523"/>
      <c r="AR40" s="1523"/>
      <c r="AT40" s="1523"/>
    </row>
    <row r="41" spans="1:46">
      <c r="B41" s="1781">
        <v>3</v>
      </c>
      <c r="C41" s="1557"/>
      <c r="D41" s="1782"/>
      <c r="E41" s="1544"/>
      <c r="F41" s="1790"/>
      <c r="G41" s="1544"/>
      <c r="H41" s="1791"/>
      <c r="I41" s="1544"/>
      <c r="J41" s="1791"/>
      <c r="K41" s="1544"/>
      <c r="L41" s="1790"/>
      <c r="M41" s="1544"/>
      <c r="N41" s="1791"/>
      <c r="O41" s="1544"/>
      <c r="P41" s="1791"/>
      <c r="Q41" s="1544"/>
      <c r="R41" s="1790"/>
      <c r="S41" s="1544"/>
      <c r="T41" s="1791"/>
      <c r="U41" s="1544"/>
      <c r="V41" s="1791"/>
      <c r="W41" s="1544"/>
      <c r="X41" s="1790"/>
      <c r="Y41" s="1544"/>
      <c r="Z41" s="1791"/>
      <c r="AA41" s="1544"/>
      <c r="AB41" s="1791"/>
      <c r="AC41" s="1544"/>
      <c r="AD41" s="1791"/>
      <c r="AE41" s="1544"/>
      <c r="AF41" s="1791"/>
      <c r="AG41" s="1544"/>
      <c r="AH41" s="1791"/>
      <c r="AI41" s="1544"/>
      <c r="AJ41" s="1783"/>
      <c r="AK41" s="1780"/>
      <c r="AL41" s="1783"/>
      <c r="AN41" s="1523"/>
      <c r="AP41" s="1523"/>
      <c r="AR41" s="1523"/>
      <c r="AT41" s="1523"/>
    </row>
    <row r="42" spans="1:46">
      <c r="B42" s="1781">
        <v>4</v>
      </c>
      <c r="C42" s="1557"/>
      <c r="D42" s="1782"/>
      <c r="E42" s="1544"/>
      <c r="F42" s="1790"/>
      <c r="G42" s="1544"/>
      <c r="H42" s="1791"/>
      <c r="I42" s="1544"/>
      <c r="J42" s="1791"/>
      <c r="K42" s="1544"/>
      <c r="L42" s="1790"/>
      <c r="M42" s="1544"/>
      <c r="N42" s="1791"/>
      <c r="O42" s="1544"/>
      <c r="P42" s="1791"/>
      <c r="Q42" s="1544"/>
      <c r="R42" s="1790"/>
      <c r="S42" s="1544"/>
      <c r="T42" s="1791"/>
      <c r="U42" s="1544"/>
      <c r="V42" s="1791"/>
      <c r="W42" s="1544"/>
      <c r="X42" s="1790"/>
      <c r="Y42" s="1544"/>
      <c r="Z42" s="1791"/>
      <c r="AA42" s="1544"/>
      <c r="AB42" s="1791"/>
      <c r="AC42" s="1544"/>
      <c r="AD42" s="1791"/>
      <c r="AE42" s="1544"/>
      <c r="AF42" s="1791"/>
      <c r="AG42" s="1544"/>
      <c r="AH42" s="1791"/>
      <c r="AI42" s="1544"/>
      <c r="AJ42" s="1783"/>
      <c r="AK42" s="1780"/>
      <c r="AL42" s="1783"/>
      <c r="AN42" s="1523"/>
      <c r="AP42" s="1523"/>
      <c r="AR42" s="1523"/>
      <c r="AT42" s="1523"/>
    </row>
    <row r="43" spans="1:46">
      <c r="B43" s="1781">
        <v>5</v>
      </c>
      <c r="C43" s="1557"/>
      <c r="D43" s="1782"/>
      <c r="E43" s="1544"/>
      <c r="F43" s="1790"/>
      <c r="G43" s="1544"/>
      <c r="H43" s="1791"/>
      <c r="I43" s="1544"/>
      <c r="J43" s="1791"/>
      <c r="K43" s="1544"/>
      <c r="L43" s="1790"/>
      <c r="M43" s="1544"/>
      <c r="N43" s="1791"/>
      <c r="O43" s="1544"/>
      <c r="P43" s="1791"/>
      <c r="Q43" s="1544"/>
      <c r="R43" s="1790"/>
      <c r="S43" s="1544"/>
      <c r="T43" s="1791"/>
      <c r="U43" s="1544"/>
      <c r="V43" s="1791"/>
      <c r="W43" s="1544"/>
      <c r="X43" s="1790"/>
      <c r="Y43" s="1544"/>
      <c r="Z43" s="1791"/>
      <c r="AA43" s="1544"/>
      <c r="AB43" s="1791"/>
      <c r="AC43" s="1544"/>
      <c r="AD43" s="1791"/>
      <c r="AE43" s="1544"/>
      <c r="AF43" s="1791"/>
      <c r="AG43" s="1544"/>
      <c r="AH43" s="1791"/>
      <c r="AI43" s="1544"/>
      <c r="AJ43" s="1783"/>
      <c r="AK43" s="1780"/>
      <c r="AL43" s="1783"/>
      <c r="AN43" s="1523"/>
      <c r="AP43" s="1523"/>
      <c r="AR43" s="1523"/>
      <c r="AT43" s="1523"/>
    </row>
    <row r="44" spans="1:46">
      <c r="B44" s="1781">
        <v>6</v>
      </c>
      <c r="C44" s="1557"/>
      <c r="D44" s="1782"/>
      <c r="E44" s="1544"/>
      <c r="F44" s="1790"/>
      <c r="G44" s="1544"/>
      <c r="H44" s="1791"/>
      <c r="I44" s="1544"/>
      <c r="J44" s="1791"/>
      <c r="K44" s="1544"/>
      <c r="L44" s="1790"/>
      <c r="M44" s="1544"/>
      <c r="N44" s="1791"/>
      <c r="O44" s="1544"/>
      <c r="P44" s="1791"/>
      <c r="Q44" s="1544"/>
      <c r="R44" s="1790"/>
      <c r="S44" s="1544"/>
      <c r="T44" s="1791"/>
      <c r="U44" s="1544"/>
      <c r="V44" s="1791"/>
      <c r="W44" s="1544"/>
      <c r="X44" s="1790"/>
      <c r="Y44" s="1544"/>
      <c r="Z44" s="1791"/>
      <c r="AA44" s="1544"/>
      <c r="AB44" s="1791"/>
      <c r="AC44" s="1544"/>
      <c r="AD44" s="1791"/>
      <c r="AE44" s="1544"/>
      <c r="AF44" s="1791"/>
      <c r="AG44" s="1544"/>
      <c r="AH44" s="1791"/>
      <c r="AI44" s="1544"/>
      <c r="AJ44" s="1783"/>
      <c r="AK44" s="1780"/>
      <c r="AL44" s="1783"/>
      <c r="AN44" s="1523"/>
      <c r="AP44" s="1523"/>
      <c r="AR44" s="1523"/>
      <c r="AT44" s="1523"/>
    </row>
    <row r="45" spans="1:46">
      <c r="B45" s="1781">
        <v>7</v>
      </c>
      <c r="C45" s="1557"/>
      <c r="D45" s="1782"/>
      <c r="E45" s="1544"/>
      <c r="F45" s="1790"/>
      <c r="G45" s="1544"/>
      <c r="H45" s="1791"/>
      <c r="I45" s="1544"/>
      <c r="J45" s="1791"/>
      <c r="K45" s="1544"/>
      <c r="L45" s="1790"/>
      <c r="M45" s="1544"/>
      <c r="N45" s="1791"/>
      <c r="O45" s="1544"/>
      <c r="P45" s="1791"/>
      <c r="Q45" s="1544"/>
      <c r="R45" s="1790"/>
      <c r="S45" s="1544"/>
      <c r="T45" s="1791"/>
      <c r="U45" s="1544"/>
      <c r="V45" s="1791"/>
      <c r="W45" s="1544"/>
      <c r="X45" s="1790"/>
      <c r="Y45" s="1544"/>
      <c r="Z45" s="1791"/>
      <c r="AA45" s="1544"/>
      <c r="AB45" s="1791"/>
      <c r="AC45" s="1544"/>
      <c r="AD45" s="1791"/>
      <c r="AE45" s="1544"/>
      <c r="AF45" s="1791"/>
      <c r="AG45" s="1544"/>
      <c r="AH45" s="1791"/>
      <c r="AI45" s="1544"/>
      <c r="AJ45" s="1783"/>
      <c r="AK45" s="1780"/>
      <c r="AL45" s="1783"/>
      <c r="AN45" s="1523"/>
      <c r="AP45" s="1523"/>
      <c r="AR45" s="1523"/>
      <c r="AT45" s="1523"/>
    </row>
    <row r="46" spans="1:46">
      <c r="B46" s="1781">
        <v>8</v>
      </c>
      <c r="C46" s="1557"/>
      <c r="D46" s="1782"/>
      <c r="E46" s="1544"/>
      <c r="F46" s="1790"/>
      <c r="G46" s="1544"/>
      <c r="H46" s="1791"/>
      <c r="I46" s="1544"/>
      <c r="J46" s="1791"/>
      <c r="K46" s="1544"/>
      <c r="L46" s="1790"/>
      <c r="M46" s="1544"/>
      <c r="N46" s="1791"/>
      <c r="O46" s="1544"/>
      <c r="P46" s="1791"/>
      <c r="Q46" s="1544"/>
      <c r="R46" s="1790"/>
      <c r="S46" s="1544"/>
      <c r="T46" s="1791"/>
      <c r="U46" s="1544"/>
      <c r="V46" s="1791"/>
      <c r="W46" s="1544"/>
      <c r="X46" s="1790"/>
      <c r="Y46" s="1544"/>
      <c r="Z46" s="1791"/>
      <c r="AA46" s="1544"/>
      <c r="AB46" s="1791"/>
      <c r="AC46" s="1544"/>
      <c r="AD46" s="1791"/>
      <c r="AE46" s="1544"/>
      <c r="AF46" s="1791"/>
      <c r="AG46" s="1544"/>
      <c r="AH46" s="1791"/>
      <c r="AI46" s="1544"/>
      <c r="AJ46" s="1783"/>
      <c r="AK46" s="1780"/>
      <c r="AL46" s="1783"/>
      <c r="AN46" s="1523"/>
      <c r="AP46" s="1523"/>
      <c r="AR46" s="1523"/>
      <c r="AT46" s="1523"/>
    </row>
    <row r="47" spans="1:46">
      <c r="B47" s="1781">
        <v>9</v>
      </c>
      <c r="C47" s="1557"/>
      <c r="D47" s="1782"/>
      <c r="E47" s="1544"/>
      <c r="F47" s="1790"/>
      <c r="G47" s="1544"/>
      <c r="H47" s="1791"/>
      <c r="I47" s="1544"/>
      <c r="J47" s="1791"/>
      <c r="K47" s="1544"/>
      <c r="L47" s="1790"/>
      <c r="M47" s="1544"/>
      <c r="N47" s="1791"/>
      <c r="O47" s="1544"/>
      <c r="P47" s="1791"/>
      <c r="Q47" s="1544"/>
      <c r="R47" s="1790"/>
      <c r="S47" s="1544"/>
      <c r="T47" s="1791"/>
      <c r="U47" s="1544"/>
      <c r="V47" s="1791"/>
      <c r="W47" s="1544"/>
      <c r="X47" s="1790"/>
      <c r="Y47" s="1544"/>
      <c r="Z47" s="1791"/>
      <c r="AA47" s="1544"/>
      <c r="AB47" s="1791"/>
      <c r="AC47" s="1544"/>
      <c r="AD47" s="1791"/>
      <c r="AE47" s="1544"/>
      <c r="AF47" s="1791"/>
      <c r="AG47" s="1544"/>
      <c r="AH47" s="1791"/>
      <c r="AI47" s="1544"/>
      <c r="AJ47" s="1783"/>
      <c r="AK47" s="1780"/>
      <c r="AL47" s="1783"/>
      <c r="AN47" s="1523"/>
      <c r="AP47" s="1523"/>
      <c r="AR47" s="1523"/>
      <c r="AT47" s="1523"/>
    </row>
    <row r="48" spans="1:46">
      <c r="B48" s="1781">
        <v>10</v>
      </c>
      <c r="C48" s="1557"/>
      <c r="D48" s="1782"/>
      <c r="E48" s="1544"/>
      <c r="F48" s="1790"/>
      <c r="G48" s="1544"/>
      <c r="H48" s="1791"/>
      <c r="I48" s="1544"/>
      <c r="J48" s="1791"/>
      <c r="K48" s="1544"/>
      <c r="L48" s="1790"/>
      <c r="M48" s="1544"/>
      <c r="N48" s="1791"/>
      <c r="O48" s="1544"/>
      <c r="P48" s="1791"/>
      <c r="Q48" s="1544"/>
      <c r="R48" s="1790"/>
      <c r="S48" s="1544"/>
      <c r="T48" s="1791"/>
      <c r="U48" s="1544"/>
      <c r="V48" s="1791"/>
      <c r="W48" s="1544"/>
      <c r="X48" s="1790"/>
      <c r="Y48" s="1544"/>
      <c r="Z48" s="1791"/>
      <c r="AA48" s="1544"/>
      <c r="AB48" s="1791"/>
      <c r="AC48" s="1544"/>
      <c r="AD48" s="1791"/>
      <c r="AE48" s="1544"/>
      <c r="AF48" s="1791"/>
      <c r="AG48" s="1544"/>
      <c r="AH48" s="1791"/>
      <c r="AI48" s="1544"/>
      <c r="AJ48" s="1783"/>
      <c r="AK48" s="1780"/>
      <c r="AL48" s="1783"/>
      <c r="AN48" s="1523"/>
      <c r="AP48" s="1523"/>
      <c r="AR48" s="1523"/>
      <c r="AT48" s="1523"/>
    </row>
    <row r="49" spans="2:46">
      <c r="B49" s="1781">
        <v>11</v>
      </c>
      <c r="C49" s="1557"/>
      <c r="D49" s="1782"/>
      <c r="E49" s="1544"/>
      <c r="F49" s="1790"/>
      <c r="G49" s="1544"/>
      <c r="H49" s="1791"/>
      <c r="I49" s="1544"/>
      <c r="J49" s="1791"/>
      <c r="K49" s="1544"/>
      <c r="L49" s="1790"/>
      <c r="M49" s="1544"/>
      <c r="N49" s="1791"/>
      <c r="O49" s="1544"/>
      <c r="P49" s="1791"/>
      <c r="Q49" s="1544"/>
      <c r="R49" s="1790"/>
      <c r="S49" s="1544"/>
      <c r="T49" s="1791"/>
      <c r="U49" s="1544"/>
      <c r="V49" s="1791"/>
      <c r="W49" s="1544"/>
      <c r="X49" s="1790"/>
      <c r="Y49" s="1544"/>
      <c r="Z49" s="1791"/>
      <c r="AA49" s="1544"/>
      <c r="AB49" s="1791"/>
      <c r="AC49" s="1544"/>
      <c r="AD49" s="1791"/>
      <c r="AE49" s="1544"/>
      <c r="AF49" s="1791"/>
      <c r="AG49" s="1544"/>
      <c r="AH49" s="1791"/>
      <c r="AI49" s="1544"/>
      <c r="AJ49" s="1783"/>
      <c r="AK49" s="1780"/>
      <c r="AL49" s="1783"/>
      <c r="AN49" s="1523"/>
      <c r="AP49" s="1523"/>
      <c r="AR49" s="1523"/>
      <c r="AT49" s="1523"/>
    </row>
    <row r="50" spans="2:46">
      <c r="B50" s="1781">
        <v>12</v>
      </c>
      <c r="C50" s="1557"/>
      <c r="D50" s="1782"/>
      <c r="E50" s="1544"/>
      <c r="F50" s="1790"/>
      <c r="G50" s="1544"/>
      <c r="H50" s="1791"/>
      <c r="I50" s="1544"/>
      <c r="J50" s="1791"/>
      <c r="K50" s="1544"/>
      <c r="L50" s="1790"/>
      <c r="M50" s="1544"/>
      <c r="N50" s="1791"/>
      <c r="O50" s="1544"/>
      <c r="P50" s="1791"/>
      <c r="Q50" s="1544"/>
      <c r="R50" s="1790"/>
      <c r="S50" s="1544"/>
      <c r="T50" s="1791"/>
      <c r="U50" s="1544"/>
      <c r="V50" s="1791"/>
      <c r="W50" s="1544"/>
      <c r="X50" s="1790"/>
      <c r="Y50" s="1544"/>
      <c r="Z50" s="1791"/>
      <c r="AA50" s="1544"/>
      <c r="AB50" s="1791"/>
      <c r="AC50" s="1544"/>
      <c r="AD50" s="1791"/>
      <c r="AE50" s="1544"/>
      <c r="AF50" s="1791"/>
      <c r="AG50" s="1544"/>
      <c r="AH50" s="1791"/>
      <c r="AI50" s="1544"/>
      <c r="AJ50" s="1783"/>
      <c r="AK50" s="1780"/>
      <c r="AL50" s="1783"/>
      <c r="AN50" s="1523"/>
      <c r="AP50" s="1523"/>
      <c r="AR50" s="1523"/>
      <c r="AT50" s="1523"/>
    </row>
    <row r="51" spans="2:46">
      <c r="B51" s="1781">
        <v>13</v>
      </c>
      <c r="C51" s="1557"/>
      <c r="D51" s="1782"/>
      <c r="E51" s="1544"/>
      <c r="F51" s="1790"/>
      <c r="G51" s="1544"/>
      <c r="H51" s="1791"/>
      <c r="I51" s="1544"/>
      <c r="J51" s="1791"/>
      <c r="K51" s="1544"/>
      <c r="L51" s="1790"/>
      <c r="M51" s="1544"/>
      <c r="N51" s="1791"/>
      <c r="O51" s="1544"/>
      <c r="P51" s="1791"/>
      <c r="Q51" s="1544"/>
      <c r="R51" s="1790"/>
      <c r="S51" s="1544"/>
      <c r="T51" s="1791"/>
      <c r="U51" s="1544"/>
      <c r="V51" s="1791"/>
      <c r="W51" s="1544"/>
      <c r="X51" s="1790"/>
      <c r="Y51" s="1544"/>
      <c r="Z51" s="1791"/>
      <c r="AA51" s="1544"/>
      <c r="AB51" s="1791"/>
      <c r="AC51" s="1544"/>
      <c r="AD51" s="1791"/>
      <c r="AE51" s="1544"/>
      <c r="AF51" s="1791"/>
      <c r="AG51" s="1544"/>
      <c r="AH51" s="1791"/>
      <c r="AI51" s="1544"/>
      <c r="AJ51" s="1783"/>
      <c r="AK51" s="1780"/>
      <c r="AL51" s="1783"/>
      <c r="AN51" s="1523"/>
      <c r="AP51" s="1523"/>
      <c r="AR51" s="1523"/>
      <c r="AT51" s="1523"/>
    </row>
    <row r="52" spans="2:46">
      <c r="B52" s="1781">
        <v>14</v>
      </c>
      <c r="C52" s="1557"/>
      <c r="D52" s="1782"/>
      <c r="E52" s="1544"/>
      <c r="F52" s="1790"/>
      <c r="G52" s="1544"/>
      <c r="H52" s="1791"/>
      <c r="I52" s="1544"/>
      <c r="J52" s="1791"/>
      <c r="K52" s="1544"/>
      <c r="L52" s="1790"/>
      <c r="M52" s="1544"/>
      <c r="N52" s="1791"/>
      <c r="O52" s="1544"/>
      <c r="P52" s="1791"/>
      <c r="Q52" s="1544"/>
      <c r="R52" s="1790"/>
      <c r="S52" s="1544"/>
      <c r="T52" s="1791"/>
      <c r="U52" s="1544"/>
      <c r="V52" s="1791"/>
      <c r="W52" s="1544"/>
      <c r="X52" s="1790"/>
      <c r="Y52" s="1544"/>
      <c r="Z52" s="1791"/>
      <c r="AA52" s="1544"/>
      <c r="AB52" s="1791"/>
      <c r="AC52" s="1544"/>
      <c r="AD52" s="1791"/>
      <c r="AE52" s="1544"/>
      <c r="AF52" s="1791"/>
      <c r="AG52" s="1544"/>
      <c r="AH52" s="1791"/>
      <c r="AI52" s="1544"/>
      <c r="AJ52" s="1783"/>
      <c r="AK52" s="1780"/>
      <c r="AL52" s="1783"/>
      <c r="AN52" s="1523"/>
      <c r="AP52" s="1523"/>
      <c r="AR52" s="1523"/>
      <c r="AT52" s="1523"/>
    </row>
    <row r="53" spans="2:46">
      <c r="B53" s="1781">
        <v>15</v>
      </c>
      <c r="C53" s="1557"/>
      <c r="D53" s="1782"/>
      <c r="E53" s="1544"/>
      <c r="F53" s="1790"/>
      <c r="G53" s="1544"/>
      <c r="H53" s="1791"/>
      <c r="I53" s="1544"/>
      <c r="J53" s="1791"/>
      <c r="K53" s="1544"/>
      <c r="L53" s="1790"/>
      <c r="M53" s="1544"/>
      <c r="N53" s="1791"/>
      <c r="O53" s="1544"/>
      <c r="P53" s="1791"/>
      <c r="Q53" s="1544"/>
      <c r="R53" s="1790"/>
      <c r="S53" s="1544"/>
      <c r="T53" s="1791"/>
      <c r="U53" s="1544"/>
      <c r="V53" s="1791"/>
      <c r="W53" s="1544"/>
      <c r="X53" s="1790"/>
      <c r="Y53" s="1544"/>
      <c r="Z53" s="1791"/>
      <c r="AA53" s="1544"/>
      <c r="AB53" s="1791"/>
      <c r="AC53" s="1544"/>
      <c r="AD53" s="1791"/>
      <c r="AE53" s="1544"/>
      <c r="AF53" s="1791"/>
      <c r="AG53" s="1544"/>
      <c r="AH53" s="1791"/>
      <c r="AI53" s="1544"/>
      <c r="AJ53" s="1783"/>
      <c r="AK53" s="1780"/>
      <c r="AL53" s="1783"/>
      <c r="AN53" s="1523"/>
      <c r="AP53" s="1523"/>
      <c r="AR53" s="1523"/>
      <c r="AT53" s="1523"/>
    </row>
    <row r="54" spans="2:46">
      <c r="B54" s="1781">
        <v>16</v>
      </c>
      <c r="C54" s="1557"/>
      <c r="D54" s="1782"/>
      <c r="E54" s="1544"/>
      <c r="F54" s="1790"/>
      <c r="G54" s="1544"/>
      <c r="H54" s="1791"/>
      <c r="I54" s="1544"/>
      <c r="J54" s="1791"/>
      <c r="K54" s="1544"/>
      <c r="L54" s="1790"/>
      <c r="M54" s="1544"/>
      <c r="N54" s="1791"/>
      <c r="O54" s="1544"/>
      <c r="P54" s="1791"/>
      <c r="Q54" s="1544"/>
      <c r="R54" s="1790"/>
      <c r="S54" s="1544"/>
      <c r="T54" s="1791"/>
      <c r="U54" s="1544"/>
      <c r="V54" s="1791"/>
      <c r="W54" s="1544"/>
      <c r="X54" s="1790"/>
      <c r="Y54" s="1544"/>
      <c r="Z54" s="1791"/>
      <c r="AA54" s="1544"/>
      <c r="AB54" s="1791"/>
      <c r="AC54" s="1544"/>
      <c r="AD54" s="1791"/>
      <c r="AE54" s="1544"/>
      <c r="AF54" s="1791"/>
      <c r="AG54" s="1544"/>
      <c r="AH54" s="1791"/>
      <c r="AI54" s="1544"/>
      <c r="AJ54" s="1783"/>
      <c r="AK54" s="1780"/>
      <c r="AL54" s="1783"/>
      <c r="AN54" s="1523"/>
      <c r="AP54" s="1523"/>
      <c r="AR54" s="1523"/>
      <c r="AT54" s="1523"/>
    </row>
    <row r="55" spans="2:46">
      <c r="B55" s="1781">
        <v>17</v>
      </c>
      <c r="C55" s="1557"/>
      <c r="D55" s="1782"/>
      <c r="E55" s="1544"/>
      <c r="F55" s="1790"/>
      <c r="G55" s="1544"/>
      <c r="H55" s="1791"/>
      <c r="I55" s="1544"/>
      <c r="J55" s="1791"/>
      <c r="K55" s="1544"/>
      <c r="L55" s="1790"/>
      <c r="M55" s="1544"/>
      <c r="N55" s="1791"/>
      <c r="O55" s="1544"/>
      <c r="P55" s="1791"/>
      <c r="Q55" s="1544"/>
      <c r="R55" s="1790"/>
      <c r="S55" s="1544"/>
      <c r="T55" s="1791"/>
      <c r="U55" s="1544"/>
      <c r="V55" s="1791"/>
      <c r="W55" s="1544"/>
      <c r="X55" s="1790"/>
      <c r="Y55" s="1544"/>
      <c r="Z55" s="1791"/>
      <c r="AA55" s="1544"/>
      <c r="AB55" s="1791"/>
      <c r="AC55" s="1544"/>
      <c r="AD55" s="1791"/>
      <c r="AE55" s="1544"/>
      <c r="AF55" s="1791"/>
      <c r="AG55" s="1544"/>
      <c r="AH55" s="1791"/>
      <c r="AI55" s="1544"/>
      <c r="AJ55" s="1783"/>
      <c r="AK55" s="1780"/>
      <c r="AL55" s="1783"/>
      <c r="AN55" s="1523"/>
      <c r="AP55" s="1523"/>
      <c r="AR55" s="1523"/>
      <c r="AT55" s="1523"/>
    </row>
    <row r="56" spans="2:46">
      <c r="B56" s="1781">
        <v>18</v>
      </c>
      <c r="C56" s="1557"/>
      <c r="D56" s="1782"/>
      <c r="E56" s="1544"/>
      <c r="F56" s="1790"/>
      <c r="G56" s="1544"/>
      <c r="H56" s="1791"/>
      <c r="I56" s="1544"/>
      <c r="J56" s="1791"/>
      <c r="K56" s="1544"/>
      <c r="L56" s="1790"/>
      <c r="M56" s="1544"/>
      <c r="N56" s="1791"/>
      <c r="O56" s="1544"/>
      <c r="P56" s="1791"/>
      <c r="Q56" s="1544"/>
      <c r="R56" s="1790"/>
      <c r="S56" s="1544"/>
      <c r="T56" s="1791"/>
      <c r="U56" s="1544"/>
      <c r="V56" s="1791"/>
      <c r="W56" s="1544"/>
      <c r="X56" s="1790"/>
      <c r="Y56" s="1544"/>
      <c r="Z56" s="1791"/>
      <c r="AA56" s="1544"/>
      <c r="AB56" s="1791"/>
      <c r="AC56" s="1544"/>
      <c r="AD56" s="1791"/>
      <c r="AE56" s="1544"/>
      <c r="AF56" s="1791"/>
      <c r="AG56" s="1544"/>
      <c r="AH56" s="1791"/>
      <c r="AI56" s="1544"/>
      <c r="AJ56" s="1783"/>
      <c r="AK56" s="1780"/>
      <c r="AL56" s="1783"/>
      <c r="AN56" s="1523"/>
      <c r="AP56" s="1523"/>
      <c r="AR56" s="1523"/>
      <c r="AT56" s="1523"/>
    </row>
    <row r="57" spans="2:46">
      <c r="B57" s="1781">
        <v>19</v>
      </c>
      <c r="C57" s="1557"/>
      <c r="D57" s="1782"/>
      <c r="E57" s="1544"/>
      <c r="F57" s="1790"/>
      <c r="G57" s="1544"/>
      <c r="H57" s="1791"/>
      <c r="I57" s="1544"/>
      <c r="J57" s="1791"/>
      <c r="K57" s="1544"/>
      <c r="L57" s="1792"/>
      <c r="M57" s="1544"/>
      <c r="N57" s="1791"/>
      <c r="O57" s="1544"/>
      <c r="P57" s="1791"/>
      <c r="Q57" s="1544"/>
      <c r="R57" s="1790"/>
      <c r="S57" s="1544"/>
      <c r="T57" s="1791"/>
      <c r="U57" s="1544"/>
      <c r="V57" s="1791"/>
      <c r="W57" s="1544"/>
      <c r="X57" s="1790"/>
      <c r="Y57" s="1544"/>
      <c r="Z57" s="1791"/>
      <c r="AA57" s="1544"/>
      <c r="AB57" s="1791"/>
      <c r="AC57" s="1544"/>
      <c r="AD57" s="1791"/>
      <c r="AE57" s="1544"/>
      <c r="AF57" s="1791"/>
      <c r="AG57" s="1544"/>
      <c r="AH57" s="1791"/>
      <c r="AI57" s="1544"/>
      <c r="AJ57" s="1783"/>
      <c r="AK57" s="1780"/>
      <c r="AL57" s="1783"/>
      <c r="AN57" s="1523"/>
      <c r="AP57" s="1523"/>
      <c r="AR57" s="1523"/>
      <c r="AT57" s="1523"/>
    </row>
    <row r="58" spans="2:46">
      <c r="B58" s="1781">
        <v>20</v>
      </c>
      <c r="C58" s="1557"/>
      <c r="D58" s="1782"/>
      <c r="E58" s="1544"/>
      <c r="F58" s="1790"/>
      <c r="G58" s="1544"/>
      <c r="H58" s="1791"/>
      <c r="I58" s="1544"/>
      <c r="J58" s="1791"/>
      <c r="K58" s="1544"/>
      <c r="L58" s="1790"/>
      <c r="M58" s="1544"/>
      <c r="N58" s="1791"/>
      <c r="O58" s="1544"/>
      <c r="P58" s="1791"/>
      <c r="Q58" s="1544"/>
      <c r="R58" s="1790"/>
      <c r="S58" s="1544"/>
      <c r="T58" s="1791"/>
      <c r="U58" s="1544"/>
      <c r="V58" s="1791"/>
      <c r="W58" s="1544"/>
      <c r="X58" s="1790"/>
      <c r="Y58" s="1544"/>
      <c r="Z58" s="1791"/>
      <c r="AA58" s="1544"/>
      <c r="AB58" s="1791"/>
      <c r="AC58" s="1544"/>
      <c r="AD58" s="1791"/>
      <c r="AE58" s="1544"/>
      <c r="AF58" s="1791"/>
      <c r="AG58" s="1544"/>
      <c r="AH58" s="1791"/>
      <c r="AI58" s="1544"/>
      <c r="AJ58" s="1783"/>
      <c r="AK58" s="1780"/>
      <c r="AL58" s="1783"/>
      <c r="AN58" s="1523"/>
      <c r="AP58" s="1523"/>
      <c r="AR58" s="1523"/>
      <c r="AT58" s="1523"/>
    </row>
    <row r="59" spans="2:46">
      <c r="B59" s="1781">
        <v>21</v>
      </c>
      <c r="C59" s="1557"/>
      <c r="D59" s="1782"/>
      <c r="E59" s="1544"/>
      <c r="F59" s="1790"/>
      <c r="G59" s="1544"/>
      <c r="H59" s="1791"/>
      <c r="I59" s="1544"/>
      <c r="J59" s="1791"/>
      <c r="K59" s="1544"/>
      <c r="L59" s="1790"/>
      <c r="M59" s="1544"/>
      <c r="N59" s="1791"/>
      <c r="O59" s="1544"/>
      <c r="P59" s="1791"/>
      <c r="Q59" s="1544"/>
      <c r="R59" s="1790"/>
      <c r="S59" s="1544"/>
      <c r="T59" s="1791"/>
      <c r="U59" s="1544"/>
      <c r="V59" s="1791"/>
      <c r="W59" s="1544"/>
      <c r="X59" s="1790"/>
      <c r="Y59" s="1544"/>
      <c r="Z59" s="1791"/>
      <c r="AA59" s="1544"/>
      <c r="AB59" s="1791"/>
      <c r="AC59" s="1544"/>
      <c r="AD59" s="1791"/>
      <c r="AE59" s="1544"/>
      <c r="AF59" s="1791"/>
      <c r="AG59" s="1544"/>
      <c r="AH59" s="1791"/>
      <c r="AI59" s="1544"/>
      <c r="AJ59" s="1783"/>
      <c r="AK59" s="1780"/>
      <c r="AL59" s="1783"/>
      <c r="AN59" s="1523"/>
      <c r="AP59" s="1523"/>
      <c r="AR59" s="1523"/>
      <c r="AT59" s="1523"/>
    </row>
    <row r="60" spans="2:46">
      <c r="B60" s="1781">
        <v>22</v>
      </c>
      <c r="C60" s="1557"/>
      <c r="D60" s="1782"/>
      <c r="E60" s="1544"/>
      <c r="F60" s="1790"/>
      <c r="G60" s="1544"/>
      <c r="H60" s="1791"/>
      <c r="I60" s="1544"/>
      <c r="J60" s="1791"/>
      <c r="K60" s="1544"/>
      <c r="L60" s="1790"/>
      <c r="M60" s="1544"/>
      <c r="N60" s="1791"/>
      <c r="O60" s="1544"/>
      <c r="P60" s="1791"/>
      <c r="Q60" s="1544"/>
      <c r="R60" s="1790"/>
      <c r="S60" s="1544"/>
      <c r="T60" s="1791"/>
      <c r="U60" s="1544"/>
      <c r="V60" s="1791"/>
      <c r="W60" s="1544"/>
      <c r="X60" s="1790"/>
      <c r="Y60" s="1544"/>
      <c r="Z60" s="1791"/>
      <c r="AA60" s="1544"/>
      <c r="AB60" s="1791"/>
      <c r="AC60" s="1544"/>
      <c r="AD60" s="1791"/>
      <c r="AE60" s="1544"/>
      <c r="AF60" s="1791"/>
      <c r="AG60" s="1544"/>
      <c r="AH60" s="1791"/>
      <c r="AI60" s="1544"/>
      <c r="AJ60" s="1783"/>
      <c r="AK60" s="1780"/>
      <c r="AL60" s="1783"/>
      <c r="AN60" s="1523"/>
      <c r="AP60" s="1523"/>
      <c r="AR60" s="1523"/>
      <c r="AT60" s="1523"/>
    </row>
    <row r="61" spans="2:46">
      <c r="B61" s="1781">
        <v>23</v>
      </c>
      <c r="C61" s="1557"/>
      <c r="D61" s="1782"/>
      <c r="E61" s="1544"/>
      <c r="F61" s="1790"/>
      <c r="G61" s="1544"/>
      <c r="H61" s="1791"/>
      <c r="I61" s="1544"/>
      <c r="J61" s="1791"/>
      <c r="K61" s="1544"/>
      <c r="L61" s="1790"/>
      <c r="M61" s="1544"/>
      <c r="N61" s="1791"/>
      <c r="O61" s="1544"/>
      <c r="P61" s="1791"/>
      <c r="Q61" s="1544"/>
      <c r="R61" s="1790"/>
      <c r="S61" s="1544"/>
      <c r="T61" s="1791"/>
      <c r="U61" s="1544"/>
      <c r="V61" s="1791"/>
      <c r="W61" s="1544"/>
      <c r="X61" s="1790"/>
      <c r="Y61" s="1544"/>
      <c r="Z61" s="1791"/>
      <c r="AA61" s="1544"/>
      <c r="AB61" s="1791"/>
      <c r="AC61" s="1544"/>
      <c r="AD61" s="1791"/>
      <c r="AE61" s="1544"/>
      <c r="AF61" s="1791"/>
      <c r="AG61" s="1544"/>
      <c r="AH61" s="1791"/>
      <c r="AI61" s="1544"/>
      <c r="AJ61" s="1783"/>
      <c r="AK61" s="1780"/>
      <c r="AL61" s="1783"/>
      <c r="AN61" s="1523"/>
      <c r="AP61" s="1523"/>
      <c r="AR61" s="1523"/>
      <c r="AT61" s="1523"/>
    </row>
    <row r="62" spans="2:46">
      <c r="B62" s="1781">
        <v>24</v>
      </c>
      <c r="C62" s="1557"/>
      <c r="D62" s="1782"/>
      <c r="E62" s="1544"/>
      <c r="F62" s="1790"/>
      <c r="G62" s="1544"/>
      <c r="H62" s="1791"/>
      <c r="I62" s="1544"/>
      <c r="J62" s="1791"/>
      <c r="K62" s="1544"/>
      <c r="L62" s="1790"/>
      <c r="M62" s="1544"/>
      <c r="N62" s="1791"/>
      <c r="O62" s="1544"/>
      <c r="P62" s="1791"/>
      <c r="Q62" s="1544"/>
      <c r="R62" s="1790"/>
      <c r="S62" s="1544"/>
      <c r="T62" s="1791"/>
      <c r="U62" s="1544"/>
      <c r="V62" s="1791"/>
      <c r="W62" s="1544"/>
      <c r="X62" s="1790"/>
      <c r="Y62" s="1544"/>
      <c r="Z62" s="1791"/>
      <c r="AA62" s="1544"/>
      <c r="AB62" s="1791"/>
      <c r="AC62" s="1544"/>
      <c r="AD62" s="1791"/>
      <c r="AE62" s="1544"/>
      <c r="AF62" s="1791"/>
      <c r="AG62" s="1544"/>
      <c r="AH62" s="1791"/>
      <c r="AI62" s="1544"/>
      <c r="AJ62" s="1783"/>
      <c r="AK62" s="1780"/>
      <c r="AL62" s="1783"/>
      <c r="AN62" s="1523"/>
      <c r="AP62" s="1523"/>
      <c r="AR62" s="1523"/>
      <c r="AT62" s="1523"/>
    </row>
    <row r="63" spans="2:46">
      <c r="B63" s="1781">
        <v>25</v>
      </c>
      <c r="C63" s="1557"/>
      <c r="D63" s="1782"/>
      <c r="E63" s="1544"/>
      <c r="F63" s="1790"/>
      <c r="G63" s="1544"/>
      <c r="H63" s="1791"/>
      <c r="I63" s="1544"/>
      <c r="J63" s="1791"/>
      <c r="K63" s="1544"/>
      <c r="L63" s="1790"/>
      <c r="M63" s="1544"/>
      <c r="N63" s="1791"/>
      <c r="O63" s="1544"/>
      <c r="P63" s="1791"/>
      <c r="Q63" s="1544"/>
      <c r="R63" s="1790"/>
      <c r="S63" s="1544"/>
      <c r="T63" s="1791"/>
      <c r="U63" s="1544"/>
      <c r="V63" s="1791"/>
      <c r="W63" s="1544"/>
      <c r="X63" s="1790"/>
      <c r="Y63" s="1544"/>
      <c r="Z63" s="1791"/>
      <c r="AA63" s="1544"/>
      <c r="AB63" s="1791"/>
      <c r="AC63" s="1544"/>
      <c r="AD63" s="1791"/>
      <c r="AE63" s="1544"/>
      <c r="AF63" s="1791"/>
      <c r="AG63" s="1544"/>
      <c r="AH63" s="1791"/>
      <c r="AI63" s="1544"/>
      <c r="AJ63" s="1783"/>
      <c r="AK63" s="1780"/>
      <c r="AL63" s="1783"/>
      <c r="AN63" s="1523"/>
      <c r="AP63" s="1523"/>
      <c r="AR63" s="1523"/>
      <c r="AT63" s="1523"/>
    </row>
    <row r="64" spans="2:46">
      <c r="B64" s="1781">
        <v>26</v>
      </c>
      <c r="C64" s="1557"/>
      <c r="D64" s="1782"/>
      <c r="E64" s="1544"/>
      <c r="F64" s="1790"/>
      <c r="G64" s="1544"/>
      <c r="H64" s="1791"/>
      <c r="I64" s="1544"/>
      <c r="J64" s="1791"/>
      <c r="K64" s="1544"/>
      <c r="L64" s="1790"/>
      <c r="M64" s="1544"/>
      <c r="N64" s="1791"/>
      <c r="O64" s="1544"/>
      <c r="P64" s="1791"/>
      <c r="Q64" s="1544"/>
      <c r="R64" s="1790"/>
      <c r="S64" s="1544"/>
      <c r="T64" s="1791"/>
      <c r="U64" s="1544"/>
      <c r="V64" s="1791"/>
      <c r="W64" s="1544"/>
      <c r="X64" s="1790"/>
      <c r="Y64" s="1544"/>
      <c r="Z64" s="1791"/>
      <c r="AA64" s="1544"/>
      <c r="AB64" s="1791"/>
      <c r="AC64" s="1544"/>
      <c r="AD64" s="1791"/>
      <c r="AE64" s="1544"/>
      <c r="AF64" s="1791"/>
      <c r="AG64" s="1544"/>
      <c r="AH64" s="1791"/>
      <c r="AI64" s="1544"/>
      <c r="AJ64" s="1783"/>
      <c r="AK64" s="1780"/>
      <c r="AL64" s="1783"/>
      <c r="AN64" s="1523"/>
      <c r="AP64" s="1523"/>
      <c r="AR64" s="1523"/>
      <c r="AT64" s="1523"/>
    </row>
    <row r="65" spans="2:46">
      <c r="B65" s="1781">
        <v>27</v>
      </c>
      <c r="C65" s="1557"/>
      <c r="D65" s="1782"/>
      <c r="E65" s="1544"/>
      <c r="F65" s="1790"/>
      <c r="G65" s="1544"/>
      <c r="H65" s="1791"/>
      <c r="I65" s="1544"/>
      <c r="J65" s="1791"/>
      <c r="K65" s="1544"/>
      <c r="L65" s="1790"/>
      <c r="M65" s="1544"/>
      <c r="N65" s="1791"/>
      <c r="O65" s="1544"/>
      <c r="P65" s="1791"/>
      <c r="Q65" s="1544"/>
      <c r="R65" s="1790"/>
      <c r="S65" s="1544"/>
      <c r="T65" s="1791"/>
      <c r="U65" s="1544"/>
      <c r="V65" s="1791"/>
      <c r="W65" s="1544"/>
      <c r="X65" s="1790"/>
      <c r="Y65" s="1544"/>
      <c r="Z65" s="1791"/>
      <c r="AA65" s="1544"/>
      <c r="AB65" s="1791"/>
      <c r="AC65" s="1544"/>
      <c r="AD65" s="1791"/>
      <c r="AE65" s="1544"/>
      <c r="AF65" s="1791"/>
      <c r="AG65" s="1544"/>
      <c r="AH65" s="1791"/>
      <c r="AI65" s="1544"/>
      <c r="AJ65" s="1783"/>
      <c r="AK65" s="1780"/>
      <c r="AL65" s="1783"/>
      <c r="AN65" s="1523"/>
      <c r="AP65" s="1523"/>
      <c r="AR65" s="1523"/>
      <c r="AT65" s="1523"/>
    </row>
    <row r="66" spans="2:46">
      <c r="B66" s="1781">
        <v>28</v>
      </c>
      <c r="C66" s="1557"/>
      <c r="D66" s="1782"/>
      <c r="E66" s="1544"/>
      <c r="F66" s="1790"/>
      <c r="G66" s="1544"/>
      <c r="H66" s="1791"/>
      <c r="I66" s="1544"/>
      <c r="J66" s="1791"/>
      <c r="K66" s="1544"/>
      <c r="L66" s="1790"/>
      <c r="M66" s="1544"/>
      <c r="N66" s="1791"/>
      <c r="O66" s="1544"/>
      <c r="P66" s="1791"/>
      <c r="Q66" s="1544"/>
      <c r="R66" s="1790"/>
      <c r="S66" s="1544"/>
      <c r="T66" s="1791"/>
      <c r="U66" s="1544"/>
      <c r="V66" s="1791"/>
      <c r="W66" s="1544"/>
      <c r="X66" s="1790"/>
      <c r="Y66" s="1544"/>
      <c r="Z66" s="1791"/>
      <c r="AA66" s="1544"/>
      <c r="AB66" s="1791"/>
      <c r="AC66" s="1544"/>
      <c r="AD66" s="1791"/>
      <c r="AE66" s="1544"/>
      <c r="AF66" s="1791"/>
      <c r="AG66" s="1544"/>
      <c r="AH66" s="1791"/>
      <c r="AI66" s="1544"/>
      <c r="AJ66" s="1783"/>
      <c r="AK66" s="1780"/>
      <c r="AL66" s="1783"/>
      <c r="AN66" s="1523"/>
      <c r="AP66" s="1523"/>
      <c r="AR66" s="1523"/>
      <c r="AT66" s="1523"/>
    </row>
    <row r="67" spans="2:46">
      <c r="B67" s="1781">
        <v>29</v>
      </c>
      <c r="C67" s="1557"/>
      <c r="D67" s="1782"/>
      <c r="E67" s="1544"/>
      <c r="F67" s="1790"/>
      <c r="G67" s="1544"/>
      <c r="H67" s="1791"/>
      <c r="I67" s="1544"/>
      <c r="J67" s="1791"/>
      <c r="K67" s="1544"/>
      <c r="L67" s="1790"/>
      <c r="M67" s="1544"/>
      <c r="N67" s="1791"/>
      <c r="O67" s="1544"/>
      <c r="P67" s="1791"/>
      <c r="Q67" s="1544"/>
      <c r="R67" s="1790"/>
      <c r="S67" s="1544"/>
      <c r="T67" s="1791"/>
      <c r="U67" s="1544"/>
      <c r="V67" s="1791"/>
      <c r="W67" s="1544"/>
      <c r="X67" s="1790"/>
      <c r="Y67" s="1544"/>
      <c r="Z67" s="1791"/>
      <c r="AA67" s="1544"/>
      <c r="AB67" s="1791"/>
      <c r="AC67" s="1544"/>
      <c r="AD67" s="1791"/>
      <c r="AE67" s="1544"/>
      <c r="AF67" s="1791"/>
      <c r="AG67" s="1544"/>
      <c r="AH67" s="1791"/>
      <c r="AI67" s="1544"/>
      <c r="AJ67" s="1783"/>
      <c r="AK67" s="1780"/>
      <c r="AL67" s="1783"/>
      <c r="AN67" s="1523"/>
      <c r="AP67" s="1523"/>
      <c r="AR67" s="1523"/>
      <c r="AT67" s="1523"/>
    </row>
    <row r="68" spans="2:46">
      <c r="B68" s="1781">
        <v>30</v>
      </c>
      <c r="C68" s="1557"/>
      <c r="D68" s="1782"/>
      <c r="E68" s="1544"/>
      <c r="F68" s="1790"/>
      <c r="G68" s="1544"/>
      <c r="H68" s="1791"/>
      <c r="I68" s="1544"/>
      <c r="J68" s="1791"/>
      <c r="K68" s="1544"/>
      <c r="L68" s="1790"/>
      <c r="M68" s="1544"/>
      <c r="N68" s="1791"/>
      <c r="O68" s="1544"/>
      <c r="P68" s="1791"/>
      <c r="Q68" s="1544"/>
      <c r="R68" s="1790"/>
      <c r="S68" s="1544"/>
      <c r="T68" s="1791"/>
      <c r="U68" s="1544"/>
      <c r="V68" s="1791"/>
      <c r="W68" s="1544"/>
      <c r="X68" s="1790"/>
      <c r="Y68" s="1544"/>
      <c r="Z68" s="1791"/>
      <c r="AA68" s="1544"/>
      <c r="AB68" s="1791"/>
      <c r="AC68" s="1544"/>
      <c r="AD68" s="1791"/>
      <c r="AE68" s="1544"/>
      <c r="AF68" s="1791"/>
      <c r="AG68" s="1544"/>
      <c r="AH68" s="1791"/>
      <c r="AI68" s="1544"/>
      <c r="AJ68" s="1783"/>
      <c r="AK68" s="1780"/>
      <c r="AL68" s="1783"/>
      <c r="AN68" s="1523"/>
      <c r="AP68" s="1523"/>
      <c r="AR68" s="1523"/>
      <c r="AT68" s="1523"/>
    </row>
    <row r="69" spans="2:46">
      <c r="B69" s="1781">
        <v>31</v>
      </c>
      <c r="C69" s="1557"/>
      <c r="D69" s="1782"/>
      <c r="E69" s="1544"/>
      <c r="F69" s="1790"/>
      <c r="G69" s="1544"/>
      <c r="H69" s="1791"/>
      <c r="I69" s="1544"/>
      <c r="J69" s="1791"/>
      <c r="K69" s="1544"/>
      <c r="L69" s="1790"/>
      <c r="M69" s="1544"/>
      <c r="N69" s="1791"/>
      <c r="O69" s="1544"/>
      <c r="P69" s="1791"/>
      <c r="Q69" s="1544"/>
      <c r="R69" s="1790"/>
      <c r="S69" s="1544"/>
      <c r="T69" s="1791"/>
      <c r="U69" s="1544"/>
      <c r="V69" s="1791"/>
      <c r="W69" s="1544"/>
      <c r="X69" s="1790"/>
      <c r="Y69" s="1544"/>
      <c r="Z69" s="1791"/>
      <c r="AA69" s="1544"/>
      <c r="AB69" s="1791"/>
      <c r="AC69" s="1544"/>
      <c r="AD69" s="1791"/>
      <c r="AE69" s="1544"/>
      <c r="AF69" s="1791"/>
      <c r="AG69" s="1544"/>
      <c r="AH69" s="1791"/>
      <c r="AI69" s="1544"/>
      <c r="AJ69" s="1783"/>
      <c r="AK69" s="1780"/>
      <c r="AL69" s="1783"/>
      <c r="AN69" s="1523"/>
      <c r="AP69" s="1523"/>
      <c r="AR69" s="1523"/>
      <c r="AT69" s="1523"/>
    </row>
    <row r="70" spans="2:46">
      <c r="B70" s="1781">
        <v>32</v>
      </c>
      <c r="C70" s="1557"/>
      <c r="D70" s="1782"/>
      <c r="E70" s="1544"/>
      <c r="F70" s="1790"/>
      <c r="G70" s="1544"/>
      <c r="H70" s="1791"/>
      <c r="I70" s="1544"/>
      <c r="J70" s="1791"/>
      <c r="K70" s="1544"/>
      <c r="L70" s="1790"/>
      <c r="M70" s="1544"/>
      <c r="N70" s="1791"/>
      <c r="O70" s="1544"/>
      <c r="P70" s="1791"/>
      <c r="Q70" s="1544"/>
      <c r="R70" s="1790"/>
      <c r="S70" s="1544"/>
      <c r="T70" s="1791"/>
      <c r="U70" s="1544"/>
      <c r="V70" s="1791"/>
      <c r="W70" s="1544"/>
      <c r="X70" s="1790"/>
      <c r="Y70" s="1544"/>
      <c r="Z70" s="1791"/>
      <c r="AA70" s="1544"/>
      <c r="AB70" s="1791"/>
      <c r="AC70" s="1544"/>
      <c r="AD70" s="1791"/>
      <c r="AE70" s="1544"/>
      <c r="AF70" s="1791"/>
      <c r="AG70" s="1544"/>
      <c r="AH70" s="1791"/>
      <c r="AI70" s="1544"/>
      <c r="AJ70" s="1783"/>
      <c r="AK70" s="1780"/>
      <c r="AL70" s="1783"/>
      <c r="AN70" s="1523"/>
      <c r="AP70" s="1523"/>
      <c r="AR70" s="1523"/>
      <c r="AT70" s="1523"/>
    </row>
    <row r="71" spans="2:46">
      <c r="B71" s="1781">
        <v>33</v>
      </c>
      <c r="C71" s="1557"/>
      <c r="D71" s="1782"/>
      <c r="E71" s="1544"/>
      <c r="F71" s="1790"/>
      <c r="G71" s="1544"/>
      <c r="H71" s="1791"/>
      <c r="I71" s="1544"/>
      <c r="J71" s="1791"/>
      <c r="K71" s="1544"/>
      <c r="L71" s="1790"/>
      <c r="M71" s="1544"/>
      <c r="N71" s="1791"/>
      <c r="O71" s="1544"/>
      <c r="P71" s="1791"/>
      <c r="Q71" s="1544"/>
      <c r="R71" s="1790"/>
      <c r="S71" s="1544"/>
      <c r="T71" s="1791"/>
      <c r="U71" s="1544"/>
      <c r="V71" s="1791"/>
      <c r="W71" s="1544"/>
      <c r="X71" s="1790"/>
      <c r="Y71" s="1544"/>
      <c r="Z71" s="1791"/>
      <c r="AA71" s="1544"/>
      <c r="AB71" s="1791"/>
      <c r="AC71" s="1544"/>
      <c r="AD71" s="1791"/>
      <c r="AE71" s="1544"/>
      <c r="AF71" s="1791"/>
      <c r="AG71" s="1544"/>
      <c r="AH71" s="1791"/>
      <c r="AI71" s="1544"/>
      <c r="AJ71" s="1783"/>
      <c r="AK71" s="1780"/>
      <c r="AL71" s="1783"/>
      <c r="AN71" s="1523"/>
      <c r="AP71" s="1523"/>
      <c r="AR71" s="1523"/>
      <c r="AT71" s="1523"/>
    </row>
    <row r="72" spans="2:46">
      <c r="B72" s="1781">
        <v>34</v>
      </c>
      <c r="C72" s="1557"/>
      <c r="D72" s="1782"/>
      <c r="E72" s="1544"/>
      <c r="F72" s="1790"/>
      <c r="G72" s="1544"/>
      <c r="H72" s="1791"/>
      <c r="I72" s="1544"/>
      <c r="J72" s="1791"/>
      <c r="K72" s="1544"/>
      <c r="L72" s="1790"/>
      <c r="M72" s="1544"/>
      <c r="N72" s="1791"/>
      <c r="O72" s="1544"/>
      <c r="P72" s="1791"/>
      <c r="Q72" s="1544"/>
      <c r="R72" s="1790"/>
      <c r="S72" s="1544"/>
      <c r="T72" s="1791"/>
      <c r="U72" s="1544"/>
      <c r="V72" s="1791"/>
      <c r="W72" s="1544"/>
      <c r="X72" s="1790"/>
      <c r="Y72" s="1544"/>
      <c r="Z72" s="1791"/>
      <c r="AA72" s="1544"/>
      <c r="AB72" s="1791"/>
      <c r="AC72" s="1544"/>
      <c r="AD72" s="1791"/>
      <c r="AE72" s="1544"/>
      <c r="AF72" s="1791"/>
      <c r="AG72" s="1544"/>
      <c r="AH72" s="1791"/>
      <c r="AI72" s="1544"/>
      <c r="AJ72" s="1783"/>
      <c r="AK72" s="1780"/>
      <c r="AL72" s="1783"/>
      <c r="AN72" s="1523"/>
      <c r="AP72" s="1523"/>
      <c r="AR72" s="1523"/>
      <c r="AT72" s="1523"/>
    </row>
    <row r="73" spans="2:46">
      <c r="B73" s="1781">
        <v>35</v>
      </c>
      <c r="C73" s="1557"/>
      <c r="D73" s="1782"/>
      <c r="E73" s="1544"/>
      <c r="F73" s="1790"/>
      <c r="G73" s="1544"/>
      <c r="H73" s="1791"/>
      <c r="I73" s="1544"/>
      <c r="J73" s="1791"/>
      <c r="K73" s="1544"/>
      <c r="L73" s="1790"/>
      <c r="M73" s="1544"/>
      <c r="N73" s="1791"/>
      <c r="O73" s="1544"/>
      <c r="P73" s="1791"/>
      <c r="Q73" s="1544"/>
      <c r="R73" s="1790"/>
      <c r="S73" s="1544"/>
      <c r="T73" s="1791"/>
      <c r="U73" s="1544"/>
      <c r="V73" s="1791"/>
      <c r="W73" s="1544"/>
      <c r="X73" s="1790"/>
      <c r="Y73" s="1544"/>
      <c r="Z73" s="1791"/>
      <c r="AA73" s="1544"/>
      <c r="AB73" s="1791"/>
      <c r="AC73" s="1544"/>
      <c r="AD73" s="1791"/>
      <c r="AE73" s="1544"/>
      <c r="AF73" s="1791"/>
      <c r="AG73" s="1544"/>
      <c r="AH73" s="1791"/>
      <c r="AI73" s="1544"/>
      <c r="AJ73" s="1783"/>
      <c r="AK73" s="1780"/>
      <c r="AL73" s="1783"/>
      <c r="AN73" s="1523"/>
      <c r="AP73" s="1523"/>
      <c r="AR73" s="1523"/>
      <c r="AT73" s="1523"/>
    </row>
    <row r="74" spans="2:46">
      <c r="B74" s="1781">
        <v>36</v>
      </c>
      <c r="C74" s="1557"/>
      <c r="D74" s="1782"/>
      <c r="E74" s="1544"/>
      <c r="F74" s="1790"/>
      <c r="G74" s="1544"/>
      <c r="H74" s="1791"/>
      <c r="I74" s="1544"/>
      <c r="J74" s="1791"/>
      <c r="K74" s="1544"/>
      <c r="L74" s="1790"/>
      <c r="M74" s="1544"/>
      <c r="N74" s="1791"/>
      <c r="O74" s="1544"/>
      <c r="P74" s="1791"/>
      <c r="Q74" s="1544"/>
      <c r="R74" s="1790"/>
      <c r="S74" s="1544"/>
      <c r="T74" s="1791"/>
      <c r="U74" s="1544"/>
      <c r="V74" s="1791"/>
      <c r="W74" s="1544"/>
      <c r="X74" s="1790"/>
      <c r="Y74" s="1544"/>
      <c r="Z74" s="1791"/>
      <c r="AA74" s="1544"/>
      <c r="AB74" s="1791"/>
      <c r="AC74" s="1544"/>
      <c r="AD74" s="1791"/>
      <c r="AE74" s="1544"/>
      <c r="AF74" s="1791"/>
      <c r="AG74" s="1544"/>
      <c r="AH74" s="1791"/>
      <c r="AI74" s="1544"/>
      <c r="AJ74" s="1783"/>
      <c r="AK74" s="1780"/>
      <c r="AL74" s="1783"/>
      <c r="AN74" s="1523"/>
      <c r="AP74" s="1523"/>
      <c r="AR74" s="1523"/>
      <c r="AT74" s="1523"/>
    </row>
    <row r="75" spans="2:46">
      <c r="B75" s="1781">
        <v>37</v>
      </c>
      <c r="C75" s="1557"/>
      <c r="D75" s="1782"/>
      <c r="E75" s="1544"/>
      <c r="F75" s="1790"/>
      <c r="G75" s="1544"/>
      <c r="H75" s="1791"/>
      <c r="I75" s="1544"/>
      <c r="J75" s="1791"/>
      <c r="K75" s="1544"/>
      <c r="L75" s="1790"/>
      <c r="M75" s="1544"/>
      <c r="N75" s="1791"/>
      <c r="O75" s="1544"/>
      <c r="P75" s="1791"/>
      <c r="Q75" s="1544"/>
      <c r="R75" s="1790"/>
      <c r="S75" s="1544"/>
      <c r="T75" s="1791"/>
      <c r="U75" s="1544"/>
      <c r="V75" s="1791"/>
      <c r="W75" s="1544"/>
      <c r="X75" s="1790"/>
      <c r="Y75" s="1544"/>
      <c r="Z75" s="1791"/>
      <c r="AA75" s="1544"/>
      <c r="AB75" s="1791"/>
      <c r="AC75" s="1544"/>
      <c r="AD75" s="1791"/>
      <c r="AE75" s="1544"/>
      <c r="AF75" s="1791"/>
      <c r="AG75" s="1544"/>
      <c r="AH75" s="1791"/>
      <c r="AI75" s="1544"/>
      <c r="AJ75" s="1783"/>
      <c r="AK75" s="1780"/>
      <c r="AL75" s="1783"/>
      <c r="AN75" s="1523"/>
      <c r="AP75" s="1523"/>
      <c r="AR75" s="1523"/>
      <c r="AT75" s="1523"/>
    </row>
    <row r="76" spans="2:46">
      <c r="B76" s="1781">
        <v>38</v>
      </c>
      <c r="C76" s="1557"/>
      <c r="D76" s="1782"/>
      <c r="E76" s="1544"/>
      <c r="F76" s="1790"/>
      <c r="G76" s="1544"/>
      <c r="H76" s="1791"/>
      <c r="I76" s="1544"/>
      <c r="J76" s="1791"/>
      <c r="K76" s="1544"/>
      <c r="L76" s="1790"/>
      <c r="M76" s="1544"/>
      <c r="N76" s="1791"/>
      <c r="O76" s="1544"/>
      <c r="P76" s="1791"/>
      <c r="Q76" s="1544"/>
      <c r="R76" s="1790"/>
      <c r="S76" s="1544"/>
      <c r="T76" s="1791"/>
      <c r="U76" s="1544"/>
      <c r="V76" s="1791"/>
      <c r="W76" s="1544"/>
      <c r="X76" s="1790"/>
      <c r="Y76" s="1544"/>
      <c r="Z76" s="1791"/>
      <c r="AA76" s="1544"/>
      <c r="AB76" s="1791"/>
      <c r="AC76" s="1544"/>
      <c r="AD76" s="1791"/>
      <c r="AE76" s="1544"/>
      <c r="AF76" s="1791"/>
      <c r="AG76" s="1544"/>
      <c r="AH76" s="1791"/>
      <c r="AI76" s="1544"/>
      <c r="AJ76" s="1783"/>
      <c r="AK76" s="1780"/>
      <c r="AL76" s="1783"/>
      <c r="AN76" s="1523"/>
      <c r="AP76" s="1523"/>
      <c r="AR76" s="1523"/>
      <c r="AT76" s="1523"/>
    </row>
    <row r="77" spans="2:46">
      <c r="B77" s="1781">
        <v>39</v>
      </c>
      <c r="C77" s="1557"/>
      <c r="D77" s="1782"/>
      <c r="E77" s="1544"/>
      <c r="F77" s="1790"/>
      <c r="G77" s="1544"/>
      <c r="H77" s="1791"/>
      <c r="I77" s="1544"/>
      <c r="J77" s="1791"/>
      <c r="K77" s="1544"/>
      <c r="L77" s="1790"/>
      <c r="M77" s="1544"/>
      <c r="N77" s="1791"/>
      <c r="O77" s="1544"/>
      <c r="P77" s="1791"/>
      <c r="Q77" s="1544"/>
      <c r="R77" s="1790"/>
      <c r="S77" s="1544"/>
      <c r="T77" s="1791"/>
      <c r="U77" s="1544"/>
      <c r="V77" s="1791"/>
      <c r="W77" s="1544"/>
      <c r="X77" s="1790"/>
      <c r="Y77" s="1544"/>
      <c r="Z77" s="1791"/>
      <c r="AA77" s="1544"/>
      <c r="AB77" s="1791"/>
      <c r="AC77" s="1544"/>
      <c r="AD77" s="1791"/>
      <c r="AE77" s="1544"/>
      <c r="AF77" s="1791"/>
      <c r="AG77" s="1544"/>
      <c r="AH77" s="1791"/>
      <c r="AI77" s="1544"/>
      <c r="AJ77" s="1783"/>
      <c r="AK77" s="1780"/>
      <c r="AL77" s="1783"/>
      <c r="AN77" s="1523"/>
      <c r="AP77" s="1523"/>
      <c r="AR77" s="1523"/>
      <c r="AT77" s="1523"/>
    </row>
    <row r="78" spans="2:46">
      <c r="B78" s="1781">
        <v>40</v>
      </c>
      <c r="C78" s="1557"/>
      <c r="D78" s="1782"/>
      <c r="E78" s="1544"/>
      <c r="F78" s="1790"/>
      <c r="G78" s="1544"/>
      <c r="H78" s="1791"/>
      <c r="I78" s="1544"/>
      <c r="J78" s="1791"/>
      <c r="K78" s="1544"/>
      <c r="L78" s="1790"/>
      <c r="M78" s="1544"/>
      <c r="N78" s="1791"/>
      <c r="O78" s="1544"/>
      <c r="P78" s="1791"/>
      <c r="Q78" s="1544"/>
      <c r="R78" s="1790"/>
      <c r="S78" s="1544"/>
      <c r="T78" s="1791"/>
      <c r="U78" s="1544"/>
      <c r="V78" s="1791"/>
      <c r="W78" s="1544"/>
      <c r="X78" s="1790"/>
      <c r="Y78" s="1544"/>
      <c r="Z78" s="1791"/>
      <c r="AA78" s="1544"/>
      <c r="AB78" s="1791"/>
      <c r="AC78" s="1544"/>
      <c r="AD78" s="1791"/>
      <c r="AE78" s="1544"/>
      <c r="AF78" s="1791"/>
      <c r="AG78" s="1544"/>
      <c r="AH78" s="1791"/>
      <c r="AI78" s="1544"/>
      <c r="AJ78" s="1783"/>
      <c r="AK78" s="1780"/>
      <c r="AL78" s="1783"/>
      <c r="AN78" s="1523"/>
      <c r="AP78" s="1523"/>
      <c r="AR78" s="1523"/>
      <c r="AT78" s="1523"/>
    </row>
    <row r="79" spans="2:46">
      <c r="B79" s="1781">
        <v>41</v>
      </c>
      <c r="C79" s="1557"/>
      <c r="D79" s="1782"/>
      <c r="E79" s="1544"/>
      <c r="F79" s="1790"/>
      <c r="G79" s="1544"/>
      <c r="H79" s="1791"/>
      <c r="I79" s="1544"/>
      <c r="J79" s="1791"/>
      <c r="K79" s="1544"/>
      <c r="L79" s="1790"/>
      <c r="M79" s="1544"/>
      <c r="N79" s="1791"/>
      <c r="O79" s="1544"/>
      <c r="P79" s="1791"/>
      <c r="Q79" s="1544"/>
      <c r="R79" s="1790"/>
      <c r="S79" s="1544"/>
      <c r="T79" s="1791"/>
      <c r="U79" s="1544"/>
      <c r="V79" s="1791"/>
      <c r="W79" s="1544"/>
      <c r="X79" s="1790"/>
      <c r="Y79" s="1544"/>
      <c r="Z79" s="1791"/>
      <c r="AA79" s="1544"/>
      <c r="AB79" s="1791"/>
      <c r="AC79" s="1544"/>
      <c r="AD79" s="1791"/>
      <c r="AE79" s="1544"/>
      <c r="AF79" s="1791"/>
      <c r="AG79" s="1544"/>
      <c r="AH79" s="1791"/>
      <c r="AI79" s="1544"/>
      <c r="AJ79" s="1783"/>
      <c r="AK79" s="1780"/>
      <c r="AL79" s="1783"/>
      <c r="AN79" s="1523"/>
      <c r="AP79" s="1523"/>
      <c r="AR79" s="1523"/>
      <c r="AT79" s="1523"/>
    </row>
    <row r="80" spans="2:46">
      <c r="B80" s="1781">
        <v>42</v>
      </c>
      <c r="C80" s="1557"/>
      <c r="D80" s="1782"/>
      <c r="E80" s="1544"/>
      <c r="F80" s="1790"/>
      <c r="G80" s="1544"/>
      <c r="H80" s="1791"/>
      <c r="I80" s="1544"/>
      <c r="J80" s="1791"/>
      <c r="K80" s="1544"/>
      <c r="L80" s="1790"/>
      <c r="M80" s="1544"/>
      <c r="N80" s="1791"/>
      <c r="O80" s="1544"/>
      <c r="P80" s="1791"/>
      <c r="Q80" s="1544"/>
      <c r="R80" s="1790"/>
      <c r="S80" s="1544"/>
      <c r="T80" s="1791"/>
      <c r="U80" s="1544"/>
      <c r="V80" s="1791"/>
      <c r="W80" s="1544"/>
      <c r="X80" s="1790"/>
      <c r="Y80" s="1544"/>
      <c r="Z80" s="1791"/>
      <c r="AA80" s="1544"/>
      <c r="AB80" s="1791"/>
      <c r="AC80" s="1544"/>
      <c r="AD80" s="1791"/>
      <c r="AE80" s="1544"/>
      <c r="AF80" s="1791"/>
      <c r="AG80" s="1544"/>
      <c r="AH80" s="1791"/>
      <c r="AI80" s="1544"/>
      <c r="AJ80" s="1783"/>
      <c r="AK80" s="1780"/>
      <c r="AL80" s="1783"/>
      <c r="AN80" s="1523"/>
      <c r="AP80" s="1523"/>
      <c r="AR80" s="1523"/>
      <c r="AT80" s="1523"/>
    </row>
    <row r="81" spans="2:46">
      <c r="B81" s="1781">
        <v>43</v>
      </c>
      <c r="C81" s="1557"/>
      <c r="D81" s="1782"/>
      <c r="E81" s="1544"/>
      <c r="F81" s="1790"/>
      <c r="G81" s="1544"/>
      <c r="H81" s="1791"/>
      <c r="I81" s="1544"/>
      <c r="J81" s="1791"/>
      <c r="K81" s="1544"/>
      <c r="L81" s="1790"/>
      <c r="M81" s="1544"/>
      <c r="N81" s="1791"/>
      <c r="O81" s="1544"/>
      <c r="P81" s="1791"/>
      <c r="Q81" s="1544"/>
      <c r="R81" s="1790"/>
      <c r="S81" s="1544"/>
      <c r="T81" s="1791"/>
      <c r="U81" s="1544"/>
      <c r="V81" s="1791"/>
      <c r="W81" s="1544"/>
      <c r="X81" s="1790"/>
      <c r="Y81" s="1544"/>
      <c r="Z81" s="1791"/>
      <c r="AA81" s="1544"/>
      <c r="AB81" s="1791"/>
      <c r="AC81" s="1544"/>
      <c r="AD81" s="1791"/>
      <c r="AE81" s="1544"/>
      <c r="AF81" s="1791"/>
      <c r="AG81" s="1544"/>
      <c r="AH81" s="1791"/>
      <c r="AI81" s="1544"/>
      <c r="AJ81" s="1783"/>
      <c r="AK81" s="1780"/>
      <c r="AL81" s="1783"/>
      <c r="AN81" s="1523"/>
      <c r="AP81" s="1523"/>
      <c r="AR81" s="1523"/>
      <c r="AT81" s="1523"/>
    </row>
    <row r="82" spans="2:46">
      <c r="B82" s="1781">
        <v>44</v>
      </c>
      <c r="C82" s="1557"/>
      <c r="D82" s="1782"/>
      <c r="E82" s="1544"/>
      <c r="F82" s="1790"/>
      <c r="G82" s="1544"/>
      <c r="H82" s="1791"/>
      <c r="I82" s="1544"/>
      <c r="J82" s="1791"/>
      <c r="K82" s="1544"/>
      <c r="L82" s="1790"/>
      <c r="M82" s="1544"/>
      <c r="N82" s="1791"/>
      <c r="O82" s="1544"/>
      <c r="P82" s="1791"/>
      <c r="Q82" s="1544"/>
      <c r="R82" s="1790"/>
      <c r="S82" s="1544"/>
      <c r="T82" s="1791"/>
      <c r="U82" s="1544"/>
      <c r="V82" s="1791"/>
      <c r="W82" s="1544"/>
      <c r="X82" s="1790"/>
      <c r="Y82" s="1544"/>
      <c r="Z82" s="1791"/>
      <c r="AA82" s="1544"/>
      <c r="AB82" s="1791"/>
      <c r="AC82" s="1544"/>
      <c r="AD82" s="1791"/>
      <c r="AE82" s="1544"/>
      <c r="AF82" s="1791"/>
      <c r="AG82" s="1544"/>
      <c r="AH82" s="1791"/>
      <c r="AI82" s="1544"/>
      <c r="AJ82" s="1783"/>
      <c r="AK82" s="1780"/>
      <c r="AL82" s="1783"/>
      <c r="AN82" s="1523"/>
      <c r="AP82" s="1523"/>
      <c r="AR82" s="1523"/>
      <c r="AT82" s="1523"/>
    </row>
    <row r="83" spans="2:46">
      <c r="B83" s="1781">
        <v>45</v>
      </c>
      <c r="C83" s="1557"/>
      <c r="D83" s="1782"/>
      <c r="E83" s="1544"/>
      <c r="F83" s="1790"/>
      <c r="G83" s="1544"/>
      <c r="H83" s="1791"/>
      <c r="I83" s="1544"/>
      <c r="J83" s="1791"/>
      <c r="K83" s="1544"/>
      <c r="L83" s="1790"/>
      <c r="M83" s="1544"/>
      <c r="N83" s="1791"/>
      <c r="O83" s="1544"/>
      <c r="P83" s="1791"/>
      <c r="Q83" s="1544"/>
      <c r="R83" s="1790"/>
      <c r="S83" s="1544"/>
      <c r="T83" s="1791"/>
      <c r="U83" s="1544"/>
      <c r="V83" s="1791"/>
      <c r="W83" s="1544"/>
      <c r="X83" s="1790"/>
      <c r="Y83" s="1544"/>
      <c r="Z83" s="1791"/>
      <c r="AA83" s="1544"/>
      <c r="AB83" s="1791"/>
      <c r="AC83" s="1544"/>
      <c r="AD83" s="1791"/>
      <c r="AE83" s="1544"/>
      <c r="AF83" s="1791"/>
      <c r="AG83" s="1544"/>
      <c r="AH83" s="1791"/>
      <c r="AI83" s="1544"/>
      <c r="AJ83" s="1783"/>
      <c r="AK83" s="1780"/>
      <c r="AL83" s="1783"/>
      <c r="AN83" s="1523"/>
      <c r="AP83" s="1523"/>
      <c r="AR83" s="1523"/>
      <c r="AT83" s="1523"/>
    </row>
    <row r="84" spans="2:46">
      <c r="B84" s="1781">
        <v>46</v>
      </c>
      <c r="C84" s="1557"/>
      <c r="D84" s="1782"/>
      <c r="E84" s="1544"/>
      <c r="F84" s="1790"/>
      <c r="G84" s="1544"/>
      <c r="H84" s="1791"/>
      <c r="I84" s="1544"/>
      <c r="J84" s="1791"/>
      <c r="K84" s="1544"/>
      <c r="L84" s="1790"/>
      <c r="M84" s="1544"/>
      <c r="N84" s="1791"/>
      <c r="O84" s="1544"/>
      <c r="P84" s="1791"/>
      <c r="Q84" s="1544"/>
      <c r="R84" s="1790"/>
      <c r="S84" s="1544"/>
      <c r="T84" s="1791"/>
      <c r="U84" s="1544"/>
      <c r="V84" s="1791"/>
      <c r="W84" s="1544"/>
      <c r="X84" s="1790"/>
      <c r="Y84" s="1544"/>
      <c r="Z84" s="1791"/>
      <c r="AA84" s="1544"/>
      <c r="AB84" s="1791"/>
      <c r="AC84" s="1544"/>
      <c r="AD84" s="1791"/>
      <c r="AE84" s="1544"/>
      <c r="AF84" s="1791"/>
      <c r="AG84" s="1544"/>
      <c r="AH84" s="1791"/>
      <c r="AI84" s="1544"/>
      <c r="AJ84" s="1783"/>
      <c r="AK84" s="1780"/>
      <c r="AL84" s="1783"/>
      <c r="AN84" s="1523"/>
      <c r="AP84" s="1523"/>
      <c r="AR84" s="1523"/>
      <c r="AT84" s="1523"/>
    </row>
    <row r="85" spans="2:46">
      <c r="B85" s="1781">
        <v>47</v>
      </c>
      <c r="C85" s="1557"/>
      <c r="D85" s="1782"/>
      <c r="E85" s="1544"/>
      <c r="F85" s="1790"/>
      <c r="G85" s="1544"/>
      <c r="H85" s="1791"/>
      <c r="I85" s="1544"/>
      <c r="J85" s="1791"/>
      <c r="K85" s="1544"/>
      <c r="L85" s="1790"/>
      <c r="M85" s="1544"/>
      <c r="N85" s="1791"/>
      <c r="O85" s="1544"/>
      <c r="P85" s="1791"/>
      <c r="Q85" s="1544"/>
      <c r="R85" s="1790"/>
      <c r="S85" s="1544"/>
      <c r="T85" s="1791"/>
      <c r="U85" s="1544"/>
      <c r="V85" s="1791"/>
      <c r="W85" s="1544"/>
      <c r="X85" s="1790"/>
      <c r="Y85" s="1544"/>
      <c r="Z85" s="1791"/>
      <c r="AA85" s="1544"/>
      <c r="AB85" s="1791"/>
      <c r="AC85" s="1544"/>
      <c r="AD85" s="1791"/>
      <c r="AE85" s="1544"/>
      <c r="AF85" s="1791"/>
      <c r="AG85" s="1544"/>
      <c r="AH85" s="1791"/>
      <c r="AI85" s="1544"/>
      <c r="AJ85" s="1783"/>
      <c r="AK85" s="1780"/>
      <c r="AL85" s="1783"/>
      <c r="AN85" s="1523"/>
      <c r="AP85" s="1523"/>
      <c r="AR85" s="1523"/>
      <c r="AT85" s="1523"/>
    </row>
    <row r="86" spans="2:46">
      <c r="B86" s="1781">
        <v>48</v>
      </c>
      <c r="C86" s="1557"/>
      <c r="D86" s="1782"/>
      <c r="E86" s="1544"/>
      <c r="F86" s="1790"/>
      <c r="G86" s="1544"/>
      <c r="H86" s="1791"/>
      <c r="I86" s="1544"/>
      <c r="J86" s="1791"/>
      <c r="K86" s="1544"/>
      <c r="L86" s="1790"/>
      <c r="M86" s="1544"/>
      <c r="N86" s="1791"/>
      <c r="O86" s="1544"/>
      <c r="P86" s="1791"/>
      <c r="Q86" s="1544"/>
      <c r="R86" s="1790"/>
      <c r="S86" s="1544"/>
      <c r="T86" s="1791"/>
      <c r="U86" s="1544"/>
      <c r="V86" s="1791"/>
      <c r="W86" s="1544"/>
      <c r="X86" s="1790"/>
      <c r="Y86" s="1544"/>
      <c r="Z86" s="1791"/>
      <c r="AA86" s="1544"/>
      <c r="AB86" s="1791"/>
      <c r="AC86" s="1544"/>
      <c r="AD86" s="1791"/>
      <c r="AE86" s="1544"/>
      <c r="AF86" s="1791"/>
      <c r="AG86" s="1544"/>
      <c r="AH86" s="1791"/>
      <c r="AI86" s="1544"/>
      <c r="AJ86" s="1783"/>
      <c r="AK86" s="1780"/>
      <c r="AL86" s="1783"/>
      <c r="AN86" s="1523"/>
      <c r="AP86" s="1523"/>
      <c r="AR86" s="1523"/>
      <c r="AT86" s="1523"/>
    </row>
    <row r="87" spans="2:46">
      <c r="B87" s="1781">
        <v>49</v>
      </c>
      <c r="C87" s="1557"/>
      <c r="D87" s="1782"/>
      <c r="E87" s="1544"/>
      <c r="F87" s="1790"/>
      <c r="G87" s="1544"/>
      <c r="H87" s="1791"/>
      <c r="I87" s="1544"/>
      <c r="J87" s="1791"/>
      <c r="K87" s="1544"/>
      <c r="L87" s="1790"/>
      <c r="M87" s="1544"/>
      <c r="N87" s="1791"/>
      <c r="O87" s="1544"/>
      <c r="P87" s="1791"/>
      <c r="Q87" s="1544"/>
      <c r="R87" s="1790"/>
      <c r="S87" s="1544"/>
      <c r="T87" s="1791"/>
      <c r="U87" s="1544"/>
      <c r="V87" s="1791"/>
      <c r="W87" s="1544"/>
      <c r="X87" s="1790"/>
      <c r="Y87" s="1544"/>
      <c r="Z87" s="1791"/>
      <c r="AA87" s="1544"/>
      <c r="AB87" s="1791"/>
      <c r="AC87" s="1544"/>
      <c r="AD87" s="1791"/>
      <c r="AE87" s="1544"/>
      <c r="AF87" s="1791"/>
      <c r="AG87" s="1544"/>
      <c r="AH87" s="1791"/>
      <c r="AI87" s="1544"/>
      <c r="AJ87" s="1783"/>
      <c r="AK87" s="1780"/>
      <c r="AL87" s="1783"/>
      <c r="AN87" s="1523"/>
      <c r="AP87" s="1523"/>
      <c r="AR87" s="1523"/>
      <c r="AT87" s="1523"/>
    </row>
    <row r="88" spans="2:46">
      <c r="B88" s="1781">
        <v>50</v>
      </c>
      <c r="C88" s="1557"/>
      <c r="D88" s="1782"/>
      <c r="E88" s="1544"/>
      <c r="F88" s="1790"/>
      <c r="G88" s="1544"/>
      <c r="H88" s="1791"/>
      <c r="I88" s="1544"/>
      <c r="J88" s="1791"/>
      <c r="K88" s="1544"/>
      <c r="L88" s="1790"/>
      <c r="M88" s="1544"/>
      <c r="N88" s="1791"/>
      <c r="O88" s="1544"/>
      <c r="P88" s="1791"/>
      <c r="Q88" s="1544"/>
      <c r="R88" s="1790"/>
      <c r="S88" s="1544"/>
      <c r="T88" s="1791"/>
      <c r="U88" s="1544"/>
      <c r="V88" s="1791"/>
      <c r="W88" s="1544"/>
      <c r="X88" s="1790"/>
      <c r="Y88" s="1544"/>
      <c r="Z88" s="1791"/>
      <c r="AA88" s="1544"/>
      <c r="AB88" s="1791"/>
      <c r="AC88" s="1544"/>
      <c r="AD88" s="1791"/>
      <c r="AE88" s="1544"/>
      <c r="AF88" s="1791"/>
      <c r="AG88" s="1544"/>
      <c r="AH88" s="1791"/>
      <c r="AI88" s="1544"/>
      <c r="AJ88" s="1783"/>
      <c r="AK88" s="1780"/>
      <c r="AL88" s="1783"/>
      <c r="AN88" s="1523"/>
      <c r="AP88" s="1523"/>
      <c r="AR88" s="1523"/>
      <c r="AT88" s="1523"/>
    </row>
    <row r="89" spans="2:46">
      <c r="B89" s="1784">
        <v>51</v>
      </c>
      <c r="C89" s="1557"/>
      <c r="D89" s="1785"/>
      <c r="E89" s="1544"/>
      <c r="F89" s="1793"/>
      <c r="G89" s="1544"/>
      <c r="H89" s="1794"/>
      <c r="I89" s="1544"/>
      <c r="J89" s="1794"/>
      <c r="K89" s="1544"/>
      <c r="L89" s="1793"/>
      <c r="M89" s="1544"/>
      <c r="N89" s="1794"/>
      <c r="O89" s="1544"/>
      <c r="P89" s="1794"/>
      <c r="Q89" s="1544"/>
      <c r="R89" s="1793"/>
      <c r="S89" s="1544"/>
      <c r="T89" s="1794"/>
      <c r="U89" s="1544"/>
      <c r="V89" s="1794"/>
      <c r="W89" s="1544"/>
      <c r="X89" s="1793"/>
      <c r="Y89" s="1544"/>
      <c r="Z89" s="1794"/>
      <c r="AA89" s="1544"/>
      <c r="AB89" s="1794"/>
      <c r="AC89" s="1544"/>
      <c r="AD89" s="1794"/>
      <c r="AE89" s="1544"/>
      <c r="AF89" s="1794"/>
      <c r="AG89" s="1544"/>
      <c r="AH89" s="1794"/>
      <c r="AI89" s="1544"/>
      <c r="AJ89" s="1786"/>
      <c r="AK89" s="1780"/>
      <c r="AL89" s="1786"/>
      <c r="AN89" s="1526"/>
      <c r="AP89" s="1526"/>
      <c r="AR89" s="1526"/>
      <c r="AT89" s="1526"/>
    </row>
    <row r="90" spans="2:46">
      <c r="B90" s="1557"/>
      <c r="C90" s="1557"/>
      <c r="D90" s="1557"/>
      <c r="E90" s="1544"/>
      <c r="F90" s="1544"/>
      <c r="G90" s="1544"/>
      <c r="H90" s="1544"/>
      <c r="I90" s="1544"/>
      <c r="J90" s="1544"/>
      <c r="K90" s="1544"/>
      <c r="L90" s="1544"/>
      <c r="M90" s="1544"/>
      <c r="N90" s="1544"/>
      <c r="O90" s="1544"/>
      <c r="P90" s="1544"/>
      <c r="Q90" s="1544"/>
      <c r="R90" s="1544"/>
      <c r="S90" s="1544"/>
      <c r="T90" s="1544"/>
      <c r="U90" s="1544"/>
      <c r="V90" s="1544"/>
      <c r="W90" s="1544"/>
      <c r="X90" s="1544"/>
      <c r="Y90" s="1544"/>
      <c r="Z90" s="1544"/>
      <c r="AA90" s="1544"/>
      <c r="AB90" s="1544"/>
      <c r="AC90" s="1544"/>
      <c r="AD90" s="1544"/>
      <c r="AE90" s="1544"/>
      <c r="AF90" s="1544"/>
      <c r="AG90" s="1544"/>
      <c r="AH90" s="1544"/>
      <c r="AI90" s="1544"/>
    </row>
    <row r="91" spans="2:46">
      <c r="B91" s="1557"/>
      <c r="C91" s="1557"/>
      <c r="D91" s="1557"/>
      <c r="E91" s="1544"/>
      <c r="F91" s="1544"/>
      <c r="G91" s="1544"/>
      <c r="H91" s="1544"/>
      <c r="I91" s="1544"/>
      <c r="J91" s="1544"/>
      <c r="K91" s="1544"/>
      <c r="L91" s="1544"/>
      <c r="M91" s="1544"/>
      <c r="N91" s="1544"/>
      <c r="O91" s="1544"/>
      <c r="P91" s="1544"/>
      <c r="Q91" s="1544"/>
      <c r="R91" s="1544"/>
      <c r="S91" s="1544"/>
      <c r="T91" s="1544"/>
      <c r="U91" s="1544"/>
      <c r="V91" s="1544"/>
      <c r="W91" s="1544"/>
      <c r="X91" s="1544"/>
      <c r="Y91" s="1544"/>
      <c r="Z91" s="1544"/>
      <c r="AA91" s="1544"/>
      <c r="AB91" s="1544"/>
      <c r="AC91" s="1544"/>
      <c r="AD91" s="1544"/>
      <c r="AE91" s="1544"/>
      <c r="AF91" s="1544"/>
      <c r="AG91" s="1544"/>
      <c r="AH91" s="1544"/>
      <c r="AI91" s="1544"/>
    </row>
    <row r="92" spans="2:46">
      <c r="B92" s="1521"/>
      <c r="C92" s="321"/>
      <c r="D92" s="1544"/>
      <c r="E92" s="1544"/>
      <c r="F92" s="1544"/>
      <c r="G92" s="1544"/>
      <c r="H92" s="1544"/>
      <c r="I92" s="1544"/>
      <c r="J92" s="1544"/>
      <c r="K92" s="1544"/>
      <c r="L92" s="1544"/>
      <c r="M92" s="1544"/>
      <c r="N92" s="1544"/>
      <c r="O92" s="1544"/>
      <c r="P92" s="1544"/>
      <c r="Q92" s="1544"/>
      <c r="R92" s="1544"/>
      <c r="S92" s="1544"/>
      <c r="T92" s="1544"/>
      <c r="U92" s="1544"/>
      <c r="V92" s="1544"/>
      <c r="W92" s="1544"/>
      <c r="X92" s="1544"/>
      <c r="Y92" s="1544"/>
      <c r="Z92" s="1544"/>
      <c r="AA92" s="1544"/>
      <c r="AB92" s="1544"/>
      <c r="AC92" s="1544"/>
      <c r="AD92" s="1544"/>
      <c r="AE92" s="1544"/>
      <c r="AF92" s="1544"/>
      <c r="AG92" s="1544"/>
      <c r="AH92" s="1544"/>
      <c r="AI92" s="1544"/>
    </row>
    <row r="93" spans="2:46">
      <c r="B93" s="1521"/>
      <c r="C93" s="321"/>
      <c r="D93" s="1544"/>
      <c r="E93" s="1544"/>
      <c r="F93" s="1544"/>
      <c r="G93" s="1544"/>
      <c r="H93" s="1544"/>
      <c r="I93" s="1544"/>
      <c r="J93" s="1544"/>
      <c r="K93" s="1544"/>
      <c r="L93" s="1544"/>
      <c r="M93" s="1544"/>
      <c r="N93" s="1544"/>
      <c r="O93" s="1544"/>
      <c r="P93" s="1544"/>
      <c r="Q93" s="1544"/>
      <c r="R93" s="1544"/>
      <c r="S93" s="1544"/>
      <c r="T93" s="1544"/>
      <c r="U93" s="1544"/>
      <c r="V93" s="1544"/>
      <c r="W93" s="1544"/>
      <c r="X93" s="1544"/>
      <c r="Y93" s="1544"/>
      <c r="Z93" s="1544"/>
      <c r="AA93" s="1544"/>
      <c r="AB93" s="1544"/>
      <c r="AC93" s="1544"/>
      <c r="AD93" s="1544"/>
      <c r="AE93" s="1544"/>
      <c r="AF93" s="1544"/>
      <c r="AG93" s="1544"/>
      <c r="AH93" s="1544"/>
      <c r="AI93" s="1544"/>
    </row>
    <row r="94" spans="2:46">
      <c r="B94" s="1544"/>
      <c r="C94" s="1544"/>
      <c r="D94" s="1544"/>
      <c r="E94" s="1544"/>
      <c r="F94" s="1544"/>
      <c r="G94" s="1544"/>
      <c r="H94" s="1544"/>
      <c r="I94" s="1544"/>
      <c r="J94" s="1544"/>
      <c r="K94" s="1544"/>
      <c r="L94" s="1544"/>
      <c r="M94" s="1544"/>
      <c r="N94" s="1544"/>
      <c r="O94" s="1544"/>
      <c r="P94" s="1544"/>
      <c r="Q94" s="1544"/>
      <c r="R94" s="1544"/>
      <c r="S94" s="1544"/>
      <c r="T94" s="1544"/>
      <c r="U94" s="1544"/>
      <c r="V94" s="1544"/>
      <c r="W94" s="1544"/>
      <c r="X94" s="1544"/>
      <c r="Y94" s="1544"/>
      <c r="Z94" s="1544"/>
      <c r="AA94" s="1544"/>
      <c r="AB94" s="1544"/>
      <c r="AC94" s="1544"/>
      <c r="AD94" s="1544"/>
      <c r="AE94" s="1544"/>
      <c r="AF94" s="1544"/>
      <c r="AG94" s="1544"/>
      <c r="AH94" s="1544"/>
      <c r="AI94" s="1544"/>
    </row>
    <row r="95" spans="2:46">
      <c r="B95" s="1544"/>
      <c r="C95" s="1544"/>
      <c r="D95" s="1544"/>
      <c r="E95" s="1544"/>
      <c r="F95" s="1544"/>
      <c r="G95" s="1544"/>
      <c r="H95" s="1544"/>
      <c r="I95" s="1544"/>
      <c r="J95" s="1544"/>
      <c r="K95" s="1544"/>
      <c r="L95" s="1544"/>
      <c r="M95" s="1544"/>
      <c r="N95" s="1544"/>
      <c r="O95" s="1544"/>
      <c r="P95" s="1544"/>
      <c r="Q95" s="1544"/>
      <c r="R95" s="1544"/>
      <c r="S95" s="1544"/>
      <c r="T95" s="1544"/>
      <c r="U95" s="1544"/>
      <c r="V95" s="1544"/>
      <c r="W95" s="1544"/>
      <c r="X95" s="1544"/>
      <c r="Y95" s="1544"/>
      <c r="Z95" s="1544"/>
      <c r="AA95" s="1544"/>
      <c r="AB95" s="1544"/>
      <c r="AC95" s="1544"/>
      <c r="AD95" s="1544"/>
      <c r="AE95" s="1544"/>
      <c r="AF95" s="1544"/>
      <c r="AG95" s="1544"/>
      <c r="AH95" s="1544"/>
      <c r="AI95" s="1544"/>
    </row>
  </sheetData>
  <mergeCells count="1">
    <mergeCell ref="AJ33:AT36"/>
  </mergeCells>
  <pageMargins left="0.7" right="0.7" top="0.75" bottom="0.75" header="0.3" footer="0.3"/>
  <pageSetup scale="30"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100F7E4386E08740BB87532B4C0E5C4E" ma:contentTypeVersion="19" ma:contentTypeDescription="" ma:contentTypeScope="" ma:versionID="7f24fb68a5ced6d0a99cc4081398ce3b">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275ef9dcc7ead6001da0d7ec3e70ce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Workpapers</DocumentSetType>
    <Visibility xmlns="dc463f71-b30c-4ab2-9473-d307f9d35888">Full Visibility</Visibility>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Pending</CaseStatus>
    <OpenedDate xmlns="dc463f71-b30c-4ab2-9473-d307f9d35888">2025-09-05T07:00:00+00:00</OpenedDate>
    <SignificantOrder xmlns="dc463f71-b30c-4ab2-9473-d307f9d35888">false</SignificantOrder>
    <Date1 xmlns="dc463f71-b30c-4ab2-9473-d307f9d35888">2025-09-05T07:00:00+00:00</Date1>
    <IsDocumentOrder xmlns="dc463f71-b30c-4ab2-9473-d307f9d35888">false</IsDocumentOrder>
    <IsHighlyConfidential xmlns="dc463f71-b30c-4ab2-9473-d307f9d35888">false</IsHighlyConfidential>
    <CaseCompanyNames xmlns="dc463f71-b30c-4ab2-9473-d307f9d35888">PacifiCorp</CaseCompanyNames>
    <Nickname xmlns="http://schemas.microsoft.com/sharepoint/v3" xsi:nil="true"/>
    <DocketNumber xmlns="dc463f71-b30c-4ab2-9473-d307f9d35888">250695</DocketNumber>
    <DelegatedOrder xmlns="dc463f71-b30c-4ab2-9473-d307f9d35888">false</DelegatedOrder>
  </documentManagement>
</p:properties>
</file>

<file path=customXml/item4.xml><?xml version="1.0" encoding="utf-8"?>
<?mso-contentType ?>
<SharedContentType xmlns="Microsoft.SharePoint.Taxonomy.ContentTypeSync" SourceId="015f1b76-b32e-440f-80a7-f0ca4d8a872c" ContentTypeId="0x0101006E56B4D1795A2E4DB2F0B01679ED314A" PreviousValue="true"/>
</file>

<file path=customXml/itemProps1.xml><?xml version="1.0" encoding="utf-8"?>
<ds:datastoreItem xmlns:ds="http://schemas.openxmlformats.org/officeDocument/2006/customXml" ds:itemID="{99D42A2A-11B8-4FD9-BA3A-266FD6212B49}"/>
</file>

<file path=customXml/itemProps2.xml><?xml version="1.0" encoding="utf-8"?>
<ds:datastoreItem xmlns:ds="http://schemas.openxmlformats.org/officeDocument/2006/customXml" ds:itemID="{22D37B6E-25AF-498A-8116-C856D8478C07}"/>
</file>

<file path=customXml/itemProps3.xml><?xml version="1.0" encoding="utf-8"?>
<ds:datastoreItem xmlns:ds="http://schemas.openxmlformats.org/officeDocument/2006/customXml" ds:itemID="{74A93D22-1CB1-4310-85C0-15FEB086A117}"/>
</file>

<file path=customXml/itemProps4.xml><?xml version="1.0" encoding="utf-8"?>
<ds:datastoreItem xmlns:ds="http://schemas.openxmlformats.org/officeDocument/2006/customXml" ds:itemID="{9DDE1FEE-965B-4B01-8ECB-9787EDACA80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43</vt:i4>
      </vt:variant>
    </vt:vector>
  </HeadingPairs>
  <TitlesOfParts>
    <vt:vector size="76" baseType="lpstr">
      <vt:lpstr>Notes</vt:lpstr>
      <vt:lpstr>Appendix A</vt:lpstr>
      <vt:lpstr>Appendix B</vt:lpstr>
      <vt:lpstr>Summary of Rates</vt:lpstr>
      <vt:lpstr>Att 1 - ADIT</vt:lpstr>
      <vt:lpstr>Att 1A - ADIT</vt:lpstr>
      <vt:lpstr>Att 1B - ADIT</vt:lpstr>
      <vt:lpstr>Att 1B - 2017 TCJA</vt:lpstr>
      <vt:lpstr>Att 1B - INSERT NAME</vt:lpstr>
      <vt:lpstr>Att 2 - Other Taxes</vt:lpstr>
      <vt:lpstr>Att 3 - Revenue Credits</vt:lpstr>
      <vt:lpstr>Att 4 - 100 Basis Point ROE</vt:lpstr>
      <vt:lpstr>Att 5 - Cost Support</vt:lpstr>
      <vt:lpstr>Att 6 - Est &amp; Reconcile WS</vt:lpstr>
      <vt:lpstr>Att 7 - Trans Enhance Charge</vt:lpstr>
      <vt:lpstr>ATT 8 - Dep rates</vt:lpstr>
      <vt:lpstr>Att 9a - 2025 Projection</vt:lpstr>
      <vt:lpstr>Att 9a1-2024 Actual</vt:lpstr>
      <vt:lpstr>Att 9a2-2023 Actual</vt:lpstr>
      <vt:lpstr>Att 9a3 - 2022 actual</vt:lpstr>
      <vt:lpstr>Att 9b - 2024 True-up</vt:lpstr>
      <vt:lpstr>Att 10 - Acc Amort of PIS</vt:lpstr>
      <vt:lpstr>Att 11 - Prepayments</vt:lpstr>
      <vt:lpstr>Att 12 - Plant Held Future Use</vt:lpstr>
      <vt:lpstr>Att 13 - Revenue Credit Detail</vt:lpstr>
      <vt:lpstr>Att 14 - Cost of Capital Detail</vt:lpstr>
      <vt:lpstr>Att 15 - GSU and Assoc'd Equip</vt:lpstr>
      <vt:lpstr>Att 16 - Unfunded Reserves</vt:lpstr>
      <vt:lpstr>Att 17 - PBOP</vt:lpstr>
      <vt:lpstr>PIS projection</vt:lpstr>
      <vt:lpstr>Gateway PIS Monthly</vt:lpstr>
      <vt:lpstr>FERC Form 1 data</vt:lpstr>
      <vt:lpstr>Inputs</vt:lpstr>
      <vt:lpstr>Allocator.gross.plant</vt:lpstr>
      <vt:lpstr>Allocator.net.plant</vt:lpstr>
      <vt:lpstr>Allocator.wages.salary</vt:lpstr>
      <vt:lpstr>data_year</vt:lpstr>
      <vt:lpstr>FF1_INPUT</vt:lpstr>
      <vt:lpstr>FF1_INPUT_columns</vt:lpstr>
      <vt:lpstr>Inputs_EndYrBal</vt:lpstr>
      <vt:lpstr>Inputs_EndYrBal_prior</vt:lpstr>
      <vt:lpstr>Inputs_FF1_Map</vt:lpstr>
      <vt:lpstr>'Appendix A'!Print_Area</vt:lpstr>
      <vt:lpstr>'Appendix B'!Print_Area</vt:lpstr>
      <vt:lpstr>'Att 1 - ADIT'!Print_Area</vt:lpstr>
      <vt:lpstr>'Att 10 - Acc Amort of PIS'!Print_Area</vt:lpstr>
      <vt:lpstr>'Att 11 - Prepayments'!Print_Area</vt:lpstr>
      <vt:lpstr>'Att 12 - Plant Held Future Use'!Print_Area</vt:lpstr>
      <vt:lpstr>'Att 13 - Revenue Credit Detail'!Print_Area</vt:lpstr>
      <vt:lpstr>'Att 14 - Cost of Capital Detail'!Print_Area</vt:lpstr>
      <vt:lpstr>'Att 15 - GSU and Assoc''d Equip'!Print_Area</vt:lpstr>
      <vt:lpstr>'Att 16 - Unfunded Reserves'!Print_Area</vt:lpstr>
      <vt:lpstr>'Att 17 - PBOP'!Print_Area</vt:lpstr>
      <vt:lpstr>'Att 1A - ADIT'!Print_Area</vt:lpstr>
      <vt:lpstr>'Att 1B - 2017 TCJA'!Print_Area</vt:lpstr>
      <vt:lpstr>'Att 1B - ADIT'!Print_Area</vt:lpstr>
      <vt:lpstr>'Att 1B - INSERT NAME'!Print_Area</vt:lpstr>
      <vt:lpstr>'Att 2 - Other Taxes'!Print_Area</vt:lpstr>
      <vt:lpstr>'Att 3 - Revenue Credits'!Print_Area</vt:lpstr>
      <vt:lpstr>'Att 4 - 100 Basis Point ROE'!Print_Area</vt:lpstr>
      <vt:lpstr>'Att 5 - Cost Support'!Print_Area</vt:lpstr>
      <vt:lpstr>'Att 6 - Est &amp; Reconcile WS'!Print_Area</vt:lpstr>
      <vt:lpstr>'Att 7 - Trans Enhance Charge'!Print_Area</vt:lpstr>
      <vt:lpstr>'ATT 8 - Dep rates'!Print_Area</vt:lpstr>
      <vt:lpstr>'Att 9a - 2025 Projection'!Print_Area</vt:lpstr>
      <vt:lpstr>'Att 9a1-2024 Actual'!Print_Area</vt:lpstr>
      <vt:lpstr>'Att 9a2-2023 Actual'!Print_Area</vt:lpstr>
      <vt:lpstr>'Att 9a3 - 2022 actual'!Print_Area</vt:lpstr>
      <vt:lpstr>'Att 9b - 2024 True-up'!Print_Area</vt:lpstr>
      <vt:lpstr>'Summary of Rates'!Print_Area</vt:lpstr>
      <vt:lpstr>'Appendix A'!Print_Titles</vt:lpstr>
      <vt:lpstr>'Att 5 - Cost Support'!Print_Titles</vt:lpstr>
      <vt:lpstr>Projection</vt:lpstr>
      <vt:lpstr>Toggle</vt:lpstr>
      <vt:lpstr>Toggle.list</vt:lpstr>
      <vt:lpstr>True_up</vt:lpstr>
    </vt:vector>
  </TitlesOfParts>
  <Company>PacifiCorp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PacifiCorp</dc:creator>
  <cp:lastModifiedBy>Kwitman, Eva (PacifiCorp)</cp:lastModifiedBy>
  <cp:lastPrinted>2025-05-08T19:57:26Z</cp:lastPrinted>
  <dcterms:created xsi:type="dcterms:W3CDTF">2018-10-11T21:19:20Z</dcterms:created>
  <dcterms:modified xsi:type="dcterms:W3CDTF">2025-05-09T15:57:55Z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0x0101006E56B4D1795A2E4DB2F0B01679ED314A00100F7E4386E08740BB87532B4C0E5C4E</vt:lpwstr>
  </property>
  <property fmtid="{D5CDD505-2E9C-101B-9397-08002B2CF9AE}" pid="3" name="_docset_NoMedatataSyncRequired">
    <vt:lpwstr>False</vt:lpwstr>
  </property>
</Properties>
</file>