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xl/customProperty23.bin" ContentType="application/vnd.openxmlformats-officedocument.spreadsheetml.customProperty"/>
  <Override PartName="/xl/customProperty22.bin" ContentType="application/vnd.openxmlformats-officedocument.spreadsheetml.customProperty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xl/customProperty21.bin" ContentType="application/vnd.openxmlformats-officedocument.spreadsheetml.customProperty"/>
  <Override PartName="/xl/customProperty2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9.bin" ContentType="application/vnd.openxmlformats-officedocument.spreadsheetml.customProperty"/>
  <Override PartName="/xl/customProperty3.bin" ContentType="application/vnd.openxmlformats-officedocument.spreadsheetml.customProperty"/>
  <Override PartName="/xl/customProperty18.bin" ContentType="application/vnd.openxmlformats-officedocument.spreadsheetml.customProperty"/>
  <Override PartName="/xl/customProperty17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16.bin" ContentType="application/vnd.openxmlformats-officedocument.spreadsheetml.customProperty"/>
  <Override PartName="/xl/customProperty6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ates\Public\PGA Files\PGA2024_Nov 1, 2024 Effective Date\FINAL Filed on 9.16.2024 (UG-)\"/>
    </mc:Choice>
  </mc:AlternateContent>
  <bookViews>
    <workbookView xWindow="-120" yWindow="-120" windowWidth="29040" windowHeight="15840" tabRatio="931" activeTab="1"/>
  </bookViews>
  <sheets>
    <sheet name="REDACTED VERSION" sheetId="58" r:id="rId1"/>
    <sheet name="Rates Summary " sheetId="36" r:id="rId2"/>
    <sheet name="Rate Impacts-&gt;" sheetId="73" r:id="rId3"/>
    <sheet name="Rate Impacts Sch 101_106" sheetId="91" r:id="rId4"/>
    <sheet name="Typical Res Bill Sch 101_106" sheetId="92" r:id="rId5"/>
    <sheet name="Sch. 101" sheetId="93" r:id="rId6"/>
    <sheet name="Avg. Per Therm Combined" sheetId="95" r:id="rId7"/>
    <sheet name="Work Papers --&gt;" sheetId="69" r:id="rId8"/>
    <sheet name="(R) RNG 5% Calc." sheetId="89" r:id="rId9"/>
    <sheet name="F2024 Forecast " sheetId="5" r:id="rId10"/>
    <sheet name="(R) PGA Cost Summary" sheetId="94" r:id="rId11"/>
    <sheet name="2022 GRC Gas Cost Allocation" sheetId="66" r:id="rId12"/>
    <sheet name="Conversion Factor" sheetId="78" r:id="rId13"/>
  </sheets>
  <definedNames>
    <definedName name="_xlnm.Print_Area" localSheetId="10">'(R) PGA Cost Summary'!$B$1:$I$103,'(R) PGA Cost Summary'!$K$1:$R$106,'(R) PGA Cost Summary'!$T$1:$Y$103</definedName>
    <definedName name="_xlnm.Print_Area" localSheetId="8">'(R) RNG 5% Calc.'!$A$1:$B$18</definedName>
    <definedName name="_xlnm.Print_Area" localSheetId="11">'2022 GRC Gas Cost Allocation'!$A$2:$K$57</definedName>
    <definedName name="_xlnm.Print_Area" localSheetId="6">'Avg. Per Therm Combined'!$A$1:$L$38</definedName>
    <definedName name="_xlnm.Print_Area" localSheetId="12">'Conversion Factor'!$A$1:$E$25</definedName>
    <definedName name="_xlnm.Print_Area" localSheetId="3">'Rate Impacts Sch 101_106'!$A$1:$AC$39</definedName>
    <definedName name="_xlnm.Print_Area" localSheetId="1">'Rates Summary '!$B$1:$K$60</definedName>
    <definedName name="_xlnm.Print_Area" localSheetId="5">'Sch. 101'!$A$1:$J$40</definedName>
    <definedName name="_xlnm.Print_Area" localSheetId="4">'Typical Res Bill Sch 101_106'!$B$1:$N$44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95" l="1"/>
  <c r="I32" i="95"/>
  <c r="D32" i="95"/>
  <c r="E31" i="95"/>
  <c r="F31" i="95" s="1"/>
  <c r="I28" i="95"/>
  <c r="E28" i="95"/>
  <c r="D28" i="95"/>
  <c r="L24" i="95"/>
  <c r="I35" i="95"/>
  <c r="H24" i="95"/>
  <c r="H35" i="95" s="1"/>
  <c r="F24" i="95"/>
  <c r="D35" i="95"/>
  <c r="L23" i="95"/>
  <c r="H23" i="95"/>
  <c r="H34" i="95" s="1"/>
  <c r="E34" i="95"/>
  <c r="F34" i="95" s="1"/>
  <c r="D34" i="95"/>
  <c r="F22" i="95"/>
  <c r="H22" i="95"/>
  <c r="E32" i="95"/>
  <c r="F32" i="95" s="1"/>
  <c r="H21" i="95"/>
  <c r="J21" i="95" s="1"/>
  <c r="L20" i="95"/>
  <c r="J20" i="95"/>
  <c r="H20" i="95"/>
  <c r="F20" i="95"/>
  <c r="L19" i="95"/>
  <c r="H19" i="95"/>
  <c r="F19" i="95"/>
  <c r="I29" i="95"/>
  <c r="H18" i="95"/>
  <c r="L17" i="95"/>
  <c r="H17" i="95"/>
  <c r="L16" i="95"/>
  <c r="J16" i="95"/>
  <c r="H16" i="95"/>
  <c r="F16" i="95"/>
  <c r="I31" i="95"/>
  <c r="H15" i="95"/>
  <c r="H31" i="95" s="1"/>
  <c r="F15" i="95"/>
  <c r="D31" i="95"/>
  <c r="E30" i="95"/>
  <c r="H14" i="95"/>
  <c r="H30" i="95" s="1"/>
  <c r="E29" i="95"/>
  <c r="H13" i="95"/>
  <c r="L12" i="95"/>
  <c r="H12" i="95"/>
  <c r="J12" i="95" s="1"/>
  <c r="F12" i="95"/>
  <c r="A12" i="95"/>
  <c r="A13" i="95" s="1"/>
  <c r="A14" i="95" s="1"/>
  <c r="A15" i="95" s="1"/>
  <c r="A16" i="95" s="1"/>
  <c r="A17" i="95" s="1"/>
  <c r="A18" i="95" s="1"/>
  <c r="A19" i="95" s="1"/>
  <c r="A20" i="95" s="1"/>
  <c r="A21" i="95" s="1"/>
  <c r="A22" i="95" s="1"/>
  <c r="A23" i="95" s="1"/>
  <c r="A24" i="95" s="1"/>
  <c r="A25" i="95" s="1"/>
  <c r="A28" i="95" s="1"/>
  <c r="A29" i="95" s="1"/>
  <c r="A30" i="95" s="1"/>
  <c r="A31" i="95" s="1"/>
  <c r="A32" i="95" s="1"/>
  <c r="A33" i="95" s="1"/>
  <c r="A34" i="95" s="1"/>
  <c r="A35" i="95" s="1"/>
  <c r="A36" i="95" s="1"/>
  <c r="I25" i="95"/>
  <c r="H11" i="95"/>
  <c r="H28" i="95" s="1"/>
  <c r="F11" i="95"/>
  <c r="D25" i="95"/>
  <c r="I9" i="95"/>
  <c r="H9" i="95"/>
  <c r="E9" i="95"/>
  <c r="J14" i="95" l="1"/>
  <c r="H32" i="95"/>
  <c r="J32" i="95" s="1"/>
  <c r="J22" i="95"/>
  <c r="L32" i="95"/>
  <c r="J25" i="95"/>
  <c r="H29" i="95"/>
  <c r="H36" i="95" s="1"/>
  <c r="J13" i="95"/>
  <c r="F30" i="95"/>
  <c r="H33" i="95"/>
  <c r="J17" i="95"/>
  <c r="L31" i="95"/>
  <c r="J31" i="95"/>
  <c r="L29" i="95"/>
  <c r="J29" i="95"/>
  <c r="J35" i="95"/>
  <c r="L35" i="95"/>
  <c r="J28" i="95"/>
  <c r="F35" i="95"/>
  <c r="E25" i="95"/>
  <c r="F25" i="95" s="1"/>
  <c r="F13" i="95"/>
  <c r="F18" i="95" s="1"/>
  <c r="J18" i="95" s="1"/>
  <c r="L18" i="95" s="1"/>
  <c r="L13" i="95"/>
  <c r="F21" i="95"/>
  <c r="D29" i="95"/>
  <c r="D36" i="95" s="1"/>
  <c r="I33" i="95"/>
  <c r="J11" i="95"/>
  <c r="F14" i="95"/>
  <c r="L14" i="95"/>
  <c r="J15" i="95"/>
  <c r="J19" i="95"/>
  <c r="L22" i="95"/>
  <c r="J23" i="95"/>
  <c r="H25" i="95"/>
  <c r="F28" i="95"/>
  <c r="L28" i="95"/>
  <c r="D30" i="95"/>
  <c r="I30" i="95"/>
  <c r="E33" i="95"/>
  <c r="I34" i="95"/>
  <c r="F17" i="95"/>
  <c r="L21" i="95"/>
  <c r="D33" i="95"/>
  <c r="L11" i="95"/>
  <c r="L15" i="95"/>
  <c r="F23" i="95"/>
  <c r="J24" i="95"/>
  <c r="F29" i="95" l="1"/>
  <c r="L25" i="95"/>
  <c r="L33" i="95"/>
  <c r="J33" i="95"/>
  <c r="J34" i="95"/>
  <c r="L34" i="95"/>
  <c r="F33" i="95"/>
  <c r="J30" i="95"/>
  <c r="L30" i="95"/>
  <c r="I36" i="95"/>
  <c r="E36" i="95"/>
  <c r="F36" i="95" s="1"/>
  <c r="L36" i="95" l="1"/>
  <c r="J36" i="95"/>
  <c r="D37" i="36" l="1"/>
  <c r="D18" i="36"/>
  <c r="D8" i="93" l="1"/>
  <c r="G10" i="93"/>
  <c r="I11" i="91" s="1"/>
  <c r="G13" i="93"/>
  <c r="G19" i="93"/>
  <c r="G20" i="93"/>
  <c r="G24" i="93"/>
  <c r="G29" i="93"/>
  <c r="G30" i="93"/>
  <c r="G34" i="93"/>
  <c r="B2" i="92"/>
  <c r="B4" i="92"/>
  <c r="G12" i="92"/>
  <c r="G15" i="92"/>
  <c r="H15" i="92" s="1"/>
  <c r="J18" i="92"/>
  <c r="J19" i="92"/>
  <c r="J20" i="92"/>
  <c r="J21" i="92"/>
  <c r="J22" i="92"/>
  <c r="J23" i="92"/>
  <c r="J24" i="92"/>
  <c r="J25" i="92"/>
  <c r="J26" i="92"/>
  <c r="J27" i="92"/>
  <c r="J28" i="92"/>
  <c r="G31" i="92"/>
  <c r="H31" i="92" s="1"/>
  <c r="D33" i="92"/>
  <c r="J33" i="92" s="1"/>
  <c r="G34" i="92"/>
  <c r="X6" i="91"/>
  <c r="Z6" i="91"/>
  <c r="AB6" i="91"/>
  <c r="E7" i="91"/>
  <c r="X7" i="91"/>
  <c r="Z7" i="91"/>
  <c r="M28" i="91"/>
  <c r="N28" i="91"/>
  <c r="A12" i="91"/>
  <c r="A13" i="91"/>
  <c r="L29" i="91"/>
  <c r="P29" i="91"/>
  <c r="Q29" i="91"/>
  <c r="A14" i="91"/>
  <c r="P30" i="91"/>
  <c r="Q30" i="91"/>
  <c r="A15" i="91"/>
  <c r="A16" i="91" s="1"/>
  <c r="P31" i="91"/>
  <c r="Q31" i="91"/>
  <c r="L32" i="91"/>
  <c r="P32" i="91"/>
  <c r="Q32" i="91"/>
  <c r="A17" i="91"/>
  <c r="A18" i="91" s="1"/>
  <c r="A19" i="91" s="1"/>
  <c r="A20" i="91" s="1"/>
  <c r="A21" i="91" s="1"/>
  <c r="A22" i="91" s="1"/>
  <c r="A23" i="91" s="1"/>
  <c r="A24" i="91" s="1"/>
  <c r="A25" i="91" s="1"/>
  <c r="A28" i="91" s="1"/>
  <c r="A29" i="91" s="1"/>
  <c r="A30" i="91" s="1"/>
  <c r="A31" i="91" s="1"/>
  <c r="A32" i="91" s="1"/>
  <c r="A33" i="91" s="1"/>
  <c r="A34" i="91" s="1"/>
  <c r="A35" i="91" s="1"/>
  <c r="A36" i="91" s="1"/>
  <c r="L33" i="91"/>
  <c r="P33" i="91"/>
  <c r="Q33" i="91"/>
  <c r="X18" i="91"/>
  <c r="Z18" i="91"/>
  <c r="AC18" i="91"/>
  <c r="T33" i="91"/>
  <c r="E34" i="91"/>
  <c r="G34" i="91"/>
  <c r="K34" i="91"/>
  <c r="M34" i="91"/>
  <c r="N34" i="91"/>
  <c r="O34" i="91"/>
  <c r="P34" i="91"/>
  <c r="R34" i="91"/>
  <c r="S34" i="91"/>
  <c r="T34" i="91"/>
  <c r="D35" i="91"/>
  <c r="G35" i="91"/>
  <c r="K35" i="91"/>
  <c r="O35" i="91"/>
  <c r="R35" i="91"/>
  <c r="S35" i="91"/>
  <c r="T35" i="91"/>
  <c r="U28" i="91"/>
  <c r="L30" i="91"/>
  <c r="U31" i="91"/>
  <c r="U33" i="91"/>
  <c r="I34" i="91"/>
  <c r="J34" i="91"/>
  <c r="L34" i="91"/>
  <c r="Q34" i="91"/>
  <c r="U34" i="91"/>
  <c r="W34" i="91"/>
  <c r="Y34" i="91"/>
  <c r="AA34" i="91"/>
  <c r="I35" i="91"/>
  <c r="J35" i="91"/>
  <c r="L35" i="91"/>
  <c r="M35" i="91"/>
  <c r="N35" i="91"/>
  <c r="P35" i="91"/>
  <c r="Q35" i="91"/>
  <c r="U35" i="91"/>
  <c r="W35" i="91"/>
  <c r="Y35" i="91"/>
  <c r="AA35" i="91"/>
  <c r="M31" i="91" l="1"/>
  <c r="P25" i="91"/>
  <c r="E33" i="91"/>
  <c r="D32" i="91"/>
  <c r="T30" i="91"/>
  <c r="M33" i="91"/>
  <c r="E31" i="91"/>
  <c r="M30" i="91"/>
  <c r="R29" i="91"/>
  <c r="D30" i="91"/>
  <c r="R28" i="91"/>
  <c r="K33" i="91"/>
  <c r="G29" i="91"/>
  <c r="T29" i="91"/>
  <c r="F18" i="91"/>
  <c r="H18" i="91" s="1"/>
  <c r="V18" i="91" s="1"/>
  <c r="AB18" i="91" s="1"/>
  <c r="F16" i="91"/>
  <c r="H16" i="91" s="1"/>
  <c r="J31" i="92"/>
  <c r="K31" i="92" s="1"/>
  <c r="O33" i="91"/>
  <c r="G32" i="91"/>
  <c r="Q28" i="91"/>
  <c r="Q36" i="91" s="1"/>
  <c r="F11" i="91"/>
  <c r="H11" i="91" s="1"/>
  <c r="J15" i="92"/>
  <c r="K15" i="92" s="1"/>
  <c r="J12" i="92"/>
  <c r="G16" i="93"/>
  <c r="I13" i="91" s="1"/>
  <c r="I29" i="91" s="1"/>
  <c r="U32" i="91"/>
  <c r="R31" i="91"/>
  <c r="U30" i="91"/>
  <c r="M29" i="91"/>
  <c r="F13" i="91"/>
  <c r="H13" i="91" s="1"/>
  <c r="F12" i="91"/>
  <c r="H12" i="91" s="1"/>
  <c r="D33" i="91"/>
  <c r="F33" i="91" s="1"/>
  <c r="T31" i="91"/>
  <c r="O30" i="91"/>
  <c r="O29" i="91"/>
  <c r="K29" i="91"/>
  <c r="G28" i="91"/>
  <c r="D13" i="92"/>
  <c r="K28" i="91"/>
  <c r="N29" i="91"/>
  <c r="U25" i="91"/>
  <c r="T25" i="91"/>
  <c r="G35" i="93"/>
  <c r="G36" i="93" s="1"/>
  <c r="I17" i="91" s="1"/>
  <c r="I33" i="91" s="1"/>
  <c r="S32" i="91"/>
  <c r="O31" i="91"/>
  <c r="N30" i="91"/>
  <c r="D31" i="91"/>
  <c r="K30" i="91"/>
  <c r="N33" i="91"/>
  <c r="F23" i="91"/>
  <c r="H23" i="91" s="1"/>
  <c r="H34" i="91" s="1"/>
  <c r="G30" i="91"/>
  <c r="S29" i="91"/>
  <c r="D29" i="91"/>
  <c r="T32" i="91"/>
  <c r="F14" i="91"/>
  <c r="H14" i="91" s="1"/>
  <c r="S28" i="91"/>
  <c r="O28" i="91"/>
  <c r="L28" i="91"/>
  <c r="G25" i="93"/>
  <c r="D28" i="91"/>
  <c r="E31" i="92"/>
  <c r="G28" i="92"/>
  <c r="G26" i="92"/>
  <c r="G24" i="92"/>
  <c r="G22" i="92"/>
  <c r="G20" i="92"/>
  <c r="G18" i="92"/>
  <c r="E15" i="92"/>
  <c r="E12" i="92"/>
  <c r="E13" i="92" s="1"/>
  <c r="D40" i="93"/>
  <c r="K31" i="91"/>
  <c r="D29" i="92"/>
  <c r="G31" i="91"/>
  <c r="E32" i="91"/>
  <c r="E28" i="91"/>
  <c r="S33" i="91"/>
  <c r="K32" i="91"/>
  <c r="N31" i="91"/>
  <c r="F20" i="91"/>
  <c r="H20" i="91" s="1"/>
  <c r="V20" i="91" s="1"/>
  <c r="E30" i="91"/>
  <c r="F30" i="91" s="1"/>
  <c r="F17" i="91"/>
  <c r="H17" i="91" s="1"/>
  <c r="R32" i="91"/>
  <c r="N32" i="91"/>
  <c r="D39" i="93"/>
  <c r="G31" i="93"/>
  <c r="I16" i="91" s="1"/>
  <c r="I32" i="91" s="1"/>
  <c r="G21" i="93"/>
  <c r="I14" i="91" s="1"/>
  <c r="I30" i="91" s="1"/>
  <c r="G33" i="91"/>
  <c r="D34" i="91"/>
  <c r="F34" i="91" s="1"/>
  <c r="F24" i="91"/>
  <c r="H24" i="91" s="1"/>
  <c r="V24" i="91" s="1"/>
  <c r="R33" i="91"/>
  <c r="O32" i="91"/>
  <c r="S30" i="91"/>
  <c r="Q25" i="91"/>
  <c r="M32" i="91"/>
  <c r="L25" i="91"/>
  <c r="F15" i="91"/>
  <c r="H15" i="91" s="1"/>
  <c r="G27" i="92"/>
  <c r="G25" i="92"/>
  <c r="G23" i="92"/>
  <c r="G21" i="92"/>
  <c r="G19" i="92"/>
  <c r="I12" i="91"/>
  <c r="I28" i="91" s="1"/>
  <c r="D35" i="92"/>
  <c r="J29" i="92"/>
  <c r="G13" i="92"/>
  <c r="H12" i="92"/>
  <c r="H13" i="92" s="1"/>
  <c r="M28" i="92"/>
  <c r="M27" i="92"/>
  <c r="M26" i="92"/>
  <c r="M25" i="92"/>
  <c r="M24" i="92"/>
  <c r="M23" i="92"/>
  <c r="M22" i="92"/>
  <c r="M21" i="92"/>
  <c r="M20" i="92"/>
  <c r="M19" i="92"/>
  <c r="M18" i="92"/>
  <c r="M31" i="92"/>
  <c r="N31" i="92" s="1"/>
  <c r="M15" i="92"/>
  <c r="N15" i="92" s="1"/>
  <c r="M12" i="92"/>
  <c r="L31" i="91"/>
  <c r="M25" i="91"/>
  <c r="E25" i="91"/>
  <c r="S31" i="91"/>
  <c r="R30" i="91"/>
  <c r="E35" i="91"/>
  <c r="F35" i="91" s="1"/>
  <c r="D25" i="91"/>
  <c r="F22" i="91"/>
  <c r="H22" i="91" s="1"/>
  <c r="V22" i="91" s="1"/>
  <c r="F21" i="91"/>
  <c r="H21" i="91" s="1"/>
  <c r="V21" i="91" s="1"/>
  <c r="F19" i="91"/>
  <c r="H19" i="91" s="1"/>
  <c r="V19" i="91" s="1"/>
  <c r="G25" i="91"/>
  <c r="R25" i="91"/>
  <c r="N25" i="91"/>
  <c r="E29" i="91"/>
  <c r="K25" i="91"/>
  <c r="U29" i="91"/>
  <c r="T28" i="91"/>
  <c r="P28" i="91"/>
  <c r="P36" i="91" s="1"/>
  <c r="S25" i="91"/>
  <c r="O25" i="91"/>
  <c r="F28" i="91" l="1"/>
  <c r="F31" i="91"/>
  <c r="F29" i="91"/>
  <c r="F32" i="91"/>
  <c r="D36" i="91"/>
  <c r="L36" i="91"/>
  <c r="T36" i="91"/>
  <c r="V23" i="91"/>
  <c r="Z23" i="91" s="1"/>
  <c r="M36" i="91"/>
  <c r="H28" i="91"/>
  <c r="U36" i="91"/>
  <c r="R36" i="91"/>
  <c r="H35" i="91"/>
  <c r="O36" i="91"/>
  <c r="N36" i="91"/>
  <c r="K36" i="91"/>
  <c r="K12" i="92"/>
  <c r="K13" i="92" s="1"/>
  <c r="J13" i="92"/>
  <c r="F25" i="91"/>
  <c r="G26" i="93"/>
  <c r="G36" i="91"/>
  <c r="H29" i="91"/>
  <c r="S36" i="91"/>
  <c r="D42" i="92"/>
  <c r="E29" i="92"/>
  <c r="G29" i="92"/>
  <c r="D36" i="92"/>
  <c r="E35" i="92"/>
  <c r="J42" i="92"/>
  <c r="K29" i="92"/>
  <c r="M29" i="92"/>
  <c r="M13" i="92"/>
  <c r="N12" i="92"/>
  <c r="N13" i="92" s="1"/>
  <c r="AB22" i="91"/>
  <c r="AC22" i="91"/>
  <c r="X22" i="91"/>
  <c r="Z22" i="91"/>
  <c r="AC24" i="91"/>
  <c r="V35" i="91"/>
  <c r="X24" i="91"/>
  <c r="AB24" i="91"/>
  <c r="AB35" i="91" s="1"/>
  <c r="Z24" i="91"/>
  <c r="AC20" i="91"/>
  <c r="X20" i="91"/>
  <c r="Z20" i="91"/>
  <c r="AB20" i="91"/>
  <c r="E36" i="91"/>
  <c r="F36" i="91" s="1"/>
  <c r="Z19" i="91"/>
  <c r="AB19" i="91"/>
  <c r="AC19" i="91"/>
  <c r="X19" i="91"/>
  <c r="V34" i="91"/>
  <c r="H25" i="91"/>
  <c r="H30" i="91"/>
  <c r="H31" i="91"/>
  <c r="X21" i="91"/>
  <c r="Z21" i="91"/>
  <c r="AB21" i="91"/>
  <c r="AC21" i="91"/>
  <c r="H33" i="91"/>
  <c r="H32" i="91"/>
  <c r="X23" i="91" l="1"/>
  <c r="AB23" i="91"/>
  <c r="AB34" i="91" s="1"/>
  <c r="AC23" i="91"/>
  <c r="E36" i="92"/>
  <c r="E38" i="92" s="1"/>
  <c r="I15" i="91"/>
  <c r="G38" i="93"/>
  <c r="H29" i="92"/>
  <c r="G42" i="92"/>
  <c r="H36" i="91"/>
  <c r="N29" i="92"/>
  <c r="M42" i="92"/>
  <c r="X35" i="91"/>
  <c r="AC35" i="91"/>
  <c r="Z35" i="91"/>
  <c r="Z34" i="91"/>
  <c r="X34" i="91"/>
  <c r="AC34" i="91"/>
  <c r="I31" i="91" l="1"/>
  <c r="I36" i="91" s="1"/>
  <c r="I25" i="91"/>
  <c r="B19" i="5"/>
  <c r="N18" i="5"/>
  <c r="B10" i="89" l="1"/>
  <c r="B12" i="89" s="1"/>
  <c r="A2" i="5" l="1"/>
  <c r="A1" i="5"/>
  <c r="F50" i="66" l="1"/>
  <c r="G50" i="66"/>
  <c r="H50" i="66"/>
  <c r="I50" i="66"/>
  <c r="J50" i="66"/>
  <c r="E50" i="66"/>
  <c r="C19" i="5" l="1"/>
  <c r="D19" i="5" s="1"/>
  <c r="E19" i="5" s="1"/>
  <c r="F19" i="5" s="1"/>
  <c r="G19" i="5" s="1"/>
  <c r="H19" i="5" s="1"/>
  <c r="I19" i="5" s="1"/>
  <c r="J19" i="5" s="1"/>
  <c r="K19" i="5" s="1"/>
  <c r="L19" i="5" s="1"/>
  <c r="M19" i="5" s="1"/>
  <c r="J27" i="5" l="1"/>
  <c r="N21" i="5"/>
  <c r="B27" i="5"/>
  <c r="F27" i="5"/>
  <c r="N25" i="5"/>
  <c r="J12" i="36" s="1"/>
  <c r="I27" i="5"/>
  <c r="N22" i="5"/>
  <c r="G12" i="36" s="1"/>
  <c r="L27" i="5"/>
  <c r="H27" i="5"/>
  <c r="D27" i="5"/>
  <c r="N23" i="5"/>
  <c r="M27" i="5"/>
  <c r="E27" i="5"/>
  <c r="K27" i="5"/>
  <c r="G27" i="5"/>
  <c r="C27" i="5"/>
  <c r="N26" i="5"/>
  <c r="K12" i="36" s="1"/>
  <c r="N24" i="5"/>
  <c r="I12" i="36" s="1"/>
  <c r="H12" i="36"/>
  <c r="F12" i="36"/>
  <c r="N20" i="5"/>
  <c r="E12" i="36" l="1"/>
  <c r="N27" i="5"/>
  <c r="B14" i="78"/>
  <c r="E14" i="78"/>
  <c r="E16" i="78" s="1"/>
  <c r="E18" i="78" s="1"/>
  <c r="E25" i="78" l="1"/>
  <c r="D46" i="36" s="1"/>
  <c r="E19" i="78"/>
  <c r="E20" i="78" s="1"/>
  <c r="I15" i="5" l="1"/>
  <c r="G15" i="5"/>
  <c r="F15" i="5"/>
  <c r="C7" i="5"/>
  <c r="D7" i="5" s="1"/>
  <c r="E7" i="5" s="1"/>
  <c r="F7" i="5" s="1"/>
  <c r="G7" i="5" s="1"/>
  <c r="H7" i="5" s="1"/>
  <c r="I7" i="5" s="1"/>
  <c r="J7" i="5" s="1"/>
  <c r="K7" i="5" s="1"/>
  <c r="L7" i="5" s="1"/>
  <c r="M7" i="5" s="1"/>
  <c r="N6" i="5" s="1"/>
  <c r="H15" i="5" l="1"/>
  <c r="K15" i="5"/>
  <c r="C15" i="5"/>
  <c r="D15" i="5"/>
  <c r="L15" i="5"/>
  <c r="B15" i="5"/>
  <c r="E15" i="5"/>
  <c r="M15" i="5"/>
  <c r="J15" i="5"/>
  <c r="N8" i="5" l="1"/>
  <c r="E13" i="36" l="1"/>
  <c r="N9" i="5"/>
  <c r="N10" i="5"/>
  <c r="N11" i="5"/>
  <c r="N13" i="5"/>
  <c r="N14" i="5"/>
  <c r="N12" i="5"/>
  <c r="N15" i="5" l="1"/>
  <c r="I13" i="36"/>
  <c r="G13" i="36"/>
  <c r="K13" i="36"/>
  <c r="F13" i="36"/>
  <c r="J13" i="36"/>
  <c r="H13" i="36"/>
  <c r="K55" i="66" l="1"/>
  <c r="E38" i="66"/>
  <c r="F37" i="66"/>
  <c r="E35" i="66"/>
  <c r="F38" i="66"/>
  <c r="G36" i="66"/>
  <c r="A10" i="66"/>
  <c r="A11" i="66" s="1"/>
  <c r="A12" i="66" s="1"/>
  <c r="A13" i="66" s="1"/>
  <c r="A14" i="66" s="1"/>
  <c r="A15" i="66" s="1"/>
  <c r="A16" i="66" s="1"/>
  <c r="A17" i="66" s="1"/>
  <c r="A18" i="66" s="1"/>
  <c r="A19" i="66" s="1"/>
  <c r="A20" i="66" s="1"/>
  <c r="A21" i="66" s="1"/>
  <c r="A22" i="66" s="1"/>
  <c r="A23" i="66" s="1"/>
  <c r="A24" i="66" s="1"/>
  <c r="A25" i="66" s="1"/>
  <c r="A26" i="66" s="1"/>
  <c r="A27" i="66" s="1"/>
  <c r="A28" i="66" s="1"/>
  <c r="A29" i="66" s="1"/>
  <c r="A30" i="66" s="1"/>
  <c r="A31" i="66" s="1"/>
  <c r="A32" i="66" s="1"/>
  <c r="A33" i="66" s="1"/>
  <c r="A34" i="66" s="1"/>
  <c r="A35" i="66" s="1"/>
  <c r="A36" i="66" s="1"/>
  <c r="A37" i="66" s="1"/>
  <c r="A38" i="66" s="1"/>
  <c r="A39" i="66" s="1"/>
  <c r="A40" i="66" s="1"/>
  <c r="A41" i="66" s="1"/>
  <c r="A42" i="66" s="1"/>
  <c r="A43" i="66" s="1"/>
  <c r="A44" i="66" s="1"/>
  <c r="A45" i="66" s="1"/>
  <c r="A46" i="66" s="1"/>
  <c r="A47" i="66" s="1"/>
  <c r="A48" i="66" s="1"/>
  <c r="A49" i="66" s="1"/>
  <c r="A50" i="66" s="1"/>
  <c r="A51" i="66" s="1"/>
  <c r="A52" i="66" s="1"/>
  <c r="A53" i="66" s="1"/>
  <c r="A54" i="66" s="1"/>
  <c r="A55" i="66" s="1"/>
  <c r="D21" i="66" l="1"/>
  <c r="D28" i="66"/>
  <c r="D12" i="66"/>
  <c r="D9" i="66"/>
  <c r="H35" i="66"/>
  <c r="D29" i="66"/>
  <c r="H37" i="66"/>
  <c r="F35" i="66"/>
  <c r="D26" i="66"/>
  <c r="E37" i="66"/>
  <c r="G35" i="66"/>
  <c r="D30" i="66"/>
  <c r="H36" i="66"/>
  <c r="E36" i="66"/>
  <c r="G37" i="66"/>
  <c r="D15" i="66"/>
  <c r="D18" i="66"/>
  <c r="H38" i="66"/>
  <c r="F36" i="66"/>
  <c r="D50" i="66"/>
  <c r="D27" i="66"/>
  <c r="G38" i="66"/>
  <c r="I16" i="66" l="1"/>
  <c r="E16" i="66"/>
  <c r="H16" i="66"/>
  <c r="F16" i="66"/>
  <c r="K16" i="66"/>
  <c r="G16" i="66"/>
  <c r="J16" i="66"/>
  <c r="K10" i="66"/>
  <c r="G10" i="66"/>
  <c r="J10" i="66"/>
  <c r="F10" i="66"/>
  <c r="I10" i="66"/>
  <c r="E10" i="66"/>
  <c r="H10" i="66"/>
  <c r="H13" i="66"/>
  <c r="E13" i="66"/>
  <c r="K13" i="66"/>
  <c r="G13" i="66"/>
  <c r="I13" i="66"/>
  <c r="J13" i="66"/>
  <c r="F13" i="66"/>
  <c r="J19" i="66"/>
  <c r="F19" i="66"/>
  <c r="G19" i="66"/>
  <c r="I19" i="66"/>
  <c r="E19" i="66"/>
  <c r="K19" i="66"/>
  <c r="H19" i="66"/>
  <c r="K22" i="66"/>
  <c r="G22" i="66"/>
  <c r="J22" i="66"/>
  <c r="F22" i="66"/>
  <c r="I22" i="66"/>
  <c r="E22" i="66"/>
  <c r="H22" i="66"/>
  <c r="E22" i="36" l="1"/>
  <c r="H22" i="36"/>
  <c r="F22" i="36" l="1"/>
  <c r="G22" i="36"/>
  <c r="E45" i="36" l="1"/>
  <c r="F45" i="36"/>
  <c r="G45" i="36"/>
  <c r="I45" i="36"/>
  <c r="J45" i="36"/>
  <c r="K45" i="36"/>
  <c r="H45" i="36"/>
  <c r="H47" i="36" l="1"/>
  <c r="I22" i="36"/>
  <c r="J22" i="36"/>
  <c r="F20" i="93" l="1"/>
  <c r="H20" i="93" s="1"/>
  <c r="I20" i="93" s="1"/>
  <c r="J20" i="93" s="1"/>
  <c r="K22" i="36"/>
  <c r="D22" i="36" s="1"/>
  <c r="C34" i="36" l="1"/>
  <c r="D12" i="36"/>
  <c r="B11" i="36"/>
  <c r="B12" i="36" s="1"/>
  <c r="B13" i="36" s="1"/>
  <c r="E47" i="36"/>
  <c r="F47" i="36"/>
  <c r="G47" i="36"/>
  <c r="K47" i="36"/>
  <c r="F35" i="93" l="1"/>
  <c r="H35" i="93" s="1"/>
  <c r="I35" i="93" s="1"/>
  <c r="J35" i="93" s="1"/>
  <c r="B15" i="36"/>
  <c r="B16" i="36" s="1"/>
  <c r="B18" i="36" s="1"/>
  <c r="B19" i="36" s="1"/>
  <c r="B21" i="36" s="1"/>
  <c r="B22" i="36" s="1"/>
  <c r="B24" i="36" s="1"/>
  <c r="B25" i="36" s="1"/>
  <c r="B26" i="36" s="1"/>
  <c r="B28" i="36" s="1"/>
  <c r="B29" i="36" s="1"/>
  <c r="B30" i="36" s="1"/>
  <c r="B33" i="36" s="1"/>
  <c r="B34" i="36" s="1"/>
  <c r="B35" i="36" s="1"/>
  <c r="B37" i="36" s="1"/>
  <c r="B38" i="36" s="1"/>
  <c r="B39" i="36" s="1"/>
  <c r="B40" i="36" s="1"/>
  <c r="B41" i="36" s="1"/>
  <c r="B42" i="36" s="1"/>
  <c r="B45" i="36" s="1"/>
  <c r="B46" i="36" s="1"/>
  <c r="B47" i="36" s="1"/>
  <c r="B49" i="36" s="1"/>
  <c r="B50" i="36" s="1"/>
  <c r="B51" i="36" s="1"/>
  <c r="B53" i="36" s="1"/>
  <c r="B54" i="36" s="1"/>
  <c r="B55" i="36" s="1"/>
  <c r="B56" i="36" s="1"/>
  <c r="B57" i="36" s="1"/>
  <c r="I47" i="36"/>
  <c r="J47" i="36"/>
  <c r="F30" i="93" l="1"/>
  <c r="H30" i="93" s="1"/>
  <c r="I30" i="93" s="1"/>
  <c r="J30" i="93" s="1"/>
  <c r="F25" i="93"/>
  <c r="H25" i="93" s="1"/>
  <c r="I25" i="93" s="1"/>
  <c r="J25" i="93" s="1"/>
  <c r="K34" i="36"/>
  <c r="K35" i="36" s="1"/>
  <c r="J34" i="36"/>
  <c r="J35" i="36" s="1"/>
  <c r="I34" i="36"/>
  <c r="I35" i="36" s="1"/>
  <c r="H34" i="36"/>
  <c r="H35" i="36" s="1"/>
  <c r="F34" i="36"/>
  <c r="F35" i="36" s="1"/>
  <c r="G34" i="36" l="1"/>
  <c r="G35" i="36" s="1"/>
  <c r="E34" i="36"/>
  <c r="D13" i="36"/>
  <c r="D34" i="36" l="1"/>
  <c r="E35" i="36"/>
  <c r="D35" i="36" s="1"/>
  <c r="D38" i="36" l="1"/>
  <c r="I38" i="36" l="1"/>
  <c r="K38" i="36"/>
  <c r="F38" i="36"/>
  <c r="J38" i="36"/>
  <c r="G38" i="36"/>
  <c r="H38" i="36"/>
  <c r="E38" i="36"/>
  <c r="J50" i="36" l="1"/>
  <c r="J39" i="36"/>
  <c r="J41" i="36"/>
  <c r="J42" i="36" s="1"/>
  <c r="K39" i="36"/>
  <c r="K50" i="36"/>
  <c r="K41" i="36"/>
  <c r="K42" i="36" s="1"/>
  <c r="E50" i="36"/>
  <c r="E39" i="36"/>
  <c r="E41" i="36"/>
  <c r="E42" i="36" s="1"/>
  <c r="F39" i="36"/>
  <c r="F50" i="36"/>
  <c r="F40" i="36"/>
  <c r="F41" i="36"/>
  <c r="F42" i="36" s="1"/>
  <c r="H39" i="36"/>
  <c r="H50" i="36"/>
  <c r="H41" i="36"/>
  <c r="H42" i="36" s="1"/>
  <c r="G39" i="36"/>
  <c r="G41" i="36"/>
  <c r="G42" i="36" s="1"/>
  <c r="G50" i="36"/>
  <c r="I41" i="36"/>
  <c r="I42" i="36" s="1"/>
  <c r="I50" i="36"/>
  <c r="I39" i="36"/>
  <c r="D39" i="36" l="1"/>
  <c r="D39" i="66" l="1"/>
  <c r="G34" i="66"/>
  <c r="G39" i="66" s="1"/>
  <c r="D45" i="66" s="1"/>
  <c r="H34" i="66"/>
  <c r="H39" i="66" s="1"/>
  <c r="D46" i="66" s="1"/>
  <c r="F34" i="66"/>
  <c r="F39" i="66" s="1"/>
  <c r="D44" i="66" s="1"/>
  <c r="E34" i="66"/>
  <c r="E39" i="66" s="1"/>
  <c r="D43" i="66" s="1"/>
  <c r="F44" i="66" l="1"/>
  <c r="H44" i="66"/>
  <c r="J44" i="66"/>
  <c r="G44" i="66"/>
  <c r="K44" i="66"/>
  <c r="I44" i="66"/>
  <c r="E44" i="66"/>
  <c r="K46" i="66"/>
  <c r="J46" i="66"/>
  <c r="E46" i="66"/>
  <c r="H46" i="66"/>
  <c r="J54" i="66"/>
  <c r="H54" i="66"/>
  <c r="G54" i="66"/>
  <c r="I54" i="66"/>
  <c r="G46" i="66"/>
  <c r="E54" i="66"/>
  <c r="I46" i="66"/>
  <c r="F54" i="66"/>
  <c r="F46" i="66"/>
  <c r="G43" i="66"/>
  <c r="F43" i="66"/>
  <c r="H43" i="66"/>
  <c r="I43" i="66"/>
  <c r="J43" i="66"/>
  <c r="D48" i="66"/>
  <c r="K43" i="66"/>
  <c r="E43" i="66"/>
  <c r="I45" i="66"/>
  <c r="F45" i="66"/>
  <c r="G45" i="66"/>
  <c r="H45" i="66"/>
  <c r="J45" i="66"/>
  <c r="E45" i="66"/>
  <c r="K45" i="66"/>
  <c r="E48" i="66" l="1"/>
  <c r="E53" i="66"/>
  <c r="I48" i="66"/>
  <c r="I53" i="66"/>
  <c r="K48" i="66"/>
  <c r="H48" i="66"/>
  <c r="H53" i="66"/>
  <c r="F53" i="66"/>
  <c r="F48" i="66"/>
  <c r="J48" i="66"/>
  <c r="J53" i="66"/>
  <c r="G48" i="66"/>
  <c r="G53" i="66"/>
  <c r="J15" i="36" l="1"/>
  <c r="J16" i="36" s="1"/>
  <c r="I55" i="66"/>
  <c r="K15" i="36"/>
  <c r="K16" i="36" s="1"/>
  <c r="J55" i="66"/>
  <c r="F55" i="66"/>
  <c r="G15" i="36"/>
  <c r="G16" i="36" s="1"/>
  <c r="H55" i="66"/>
  <c r="I15" i="36"/>
  <c r="I16" i="36" s="1"/>
  <c r="E55" i="66"/>
  <c r="E15" i="36"/>
  <c r="E16" i="36" s="1"/>
  <c r="F15" i="36"/>
  <c r="F16" i="36" s="1"/>
  <c r="G55" i="66"/>
  <c r="H15" i="36"/>
  <c r="H16" i="36" s="1"/>
  <c r="D16" i="36" l="1"/>
  <c r="F18" i="36" s="1"/>
  <c r="J18" i="36" l="1"/>
  <c r="J24" i="36" s="1"/>
  <c r="J25" i="36" s="1"/>
  <c r="H18" i="36"/>
  <c r="H19" i="36" s="1"/>
  <c r="I18" i="36"/>
  <c r="I24" i="36" s="1"/>
  <c r="I25" i="36" s="1"/>
  <c r="F24" i="36"/>
  <c r="F25" i="36" s="1"/>
  <c r="F19" i="36"/>
  <c r="G18" i="36"/>
  <c r="E18" i="36"/>
  <c r="K18" i="36"/>
  <c r="J19" i="36" l="1"/>
  <c r="I19" i="36"/>
  <c r="H24" i="36"/>
  <c r="H25" i="36" s="1"/>
  <c r="H49" i="36" s="1"/>
  <c r="K19" i="36"/>
  <c r="K24" i="36"/>
  <c r="K25" i="36" s="1"/>
  <c r="E24" i="36"/>
  <c r="E19" i="36"/>
  <c r="J49" i="36"/>
  <c r="J28" i="36"/>
  <c r="J29" i="36"/>
  <c r="J30" i="36" s="1"/>
  <c r="I29" i="36"/>
  <c r="I30" i="36" s="1"/>
  <c r="I28" i="36"/>
  <c r="I49" i="36"/>
  <c r="G19" i="36"/>
  <c r="G24" i="36"/>
  <c r="G25" i="36" s="1"/>
  <c r="F29" i="36"/>
  <c r="F30" i="36" s="1"/>
  <c r="F28" i="36"/>
  <c r="F26" i="36"/>
  <c r="F49" i="36"/>
  <c r="H29" i="36" l="1"/>
  <c r="H30" i="36" s="1"/>
  <c r="H28" i="36"/>
  <c r="I51" i="36"/>
  <c r="J51" i="36"/>
  <c r="F51" i="36"/>
  <c r="D19" i="36"/>
  <c r="H51" i="36"/>
  <c r="G29" i="36"/>
  <c r="G30" i="36" s="1"/>
  <c r="G49" i="36"/>
  <c r="G28" i="36"/>
  <c r="D24" i="36"/>
  <c r="E25" i="36"/>
  <c r="E28" i="36" s="1"/>
  <c r="K49" i="36"/>
  <c r="K29" i="36"/>
  <c r="K30" i="36" s="1"/>
  <c r="K28" i="36"/>
  <c r="J53" i="36" l="1"/>
  <c r="H53" i="36"/>
  <c r="I53" i="36"/>
  <c r="F53" i="36"/>
  <c r="K51" i="36"/>
  <c r="G51" i="36"/>
  <c r="E29" i="36"/>
  <c r="E30" i="36" s="1"/>
  <c r="D28" i="36"/>
  <c r="E49" i="36"/>
  <c r="F29" i="93" l="1"/>
  <c r="H29" i="93" s="1"/>
  <c r="H31" i="93" s="1"/>
  <c r="F54" i="36"/>
  <c r="F19" i="93"/>
  <c r="H19" i="93" s="1"/>
  <c r="I19" i="93" s="1"/>
  <c r="J19" i="93" s="1"/>
  <c r="F24" i="93"/>
  <c r="H24" i="93" s="1"/>
  <c r="I24" i="93" s="1"/>
  <c r="J24" i="93" s="1"/>
  <c r="I56" i="36"/>
  <c r="I57" i="36" s="1"/>
  <c r="J56" i="36"/>
  <c r="J57" i="36" s="1"/>
  <c r="H56" i="36"/>
  <c r="H57" i="36" s="1"/>
  <c r="F13" i="93"/>
  <c r="H13" i="93" s="1"/>
  <c r="I13" i="93" s="1"/>
  <c r="F56" i="36"/>
  <c r="F57" i="36" s="1"/>
  <c r="K53" i="36"/>
  <c r="G53" i="36"/>
  <c r="E51" i="36"/>
  <c r="H26" i="93" l="1"/>
  <c r="I26" i="93"/>
  <c r="G56" i="36"/>
  <c r="G57" i="36" s="1"/>
  <c r="H21" i="93"/>
  <c r="I29" i="93"/>
  <c r="J29" i="93" s="1"/>
  <c r="J13" i="93"/>
  <c r="I21" i="93"/>
  <c r="K56" i="36"/>
  <c r="K57" i="36" s="1"/>
  <c r="F34" i="93"/>
  <c r="H34" i="93" s="1"/>
  <c r="H36" i="93" s="1"/>
  <c r="W12" i="91"/>
  <c r="F16" i="93"/>
  <c r="H16" i="93" s="1"/>
  <c r="I16" i="93" s="1"/>
  <c r="E53" i="36"/>
  <c r="W14" i="91" l="1"/>
  <c r="W30" i="91" s="1"/>
  <c r="W15" i="91"/>
  <c r="W31" i="91" s="1"/>
  <c r="J26" i="93"/>
  <c r="I31" i="93"/>
  <c r="W16" i="91" s="1"/>
  <c r="W32" i="91" s="1"/>
  <c r="F10" i="93"/>
  <c r="J21" i="93"/>
  <c r="I34" i="93"/>
  <c r="J34" i="93" s="1"/>
  <c r="E56" i="36"/>
  <c r="E57" i="36" s="1"/>
  <c r="M33" i="92"/>
  <c r="J16" i="93"/>
  <c r="W13" i="91"/>
  <c r="H10" i="93" l="1"/>
  <c r="I10" i="93" s="1"/>
  <c r="J31" i="93"/>
  <c r="G33" i="92"/>
  <c r="G35" i="92" s="1"/>
  <c r="G36" i="92" s="1"/>
  <c r="I36" i="93"/>
  <c r="W29" i="91"/>
  <c r="H38" i="93" l="1"/>
  <c r="J10" i="93"/>
  <c r="W17" i="91"/>
  <c r="W33" i="91" s="1"/>
  <c r="W11" i="91"/>
  <c r="W28" i="91" s="1"/>
  <c r="H35" i="92"/>
  <c r="H36" i="92" s="1"/>
  <c r="H38" i="92" s="1"/>
  <c r="H39" i="92" s="1"/>
  <c r="H40" i="92" s="1"/>
  <c r="I38" i="93"/>
  <c r="J38" i="93" s="1"/>
  <c r="J36" i="93"/>
  <c r="W25" i="91"/>
  <c r="W36" i="91" l="1"/>
  <c r="V12" i="91" l="1"/>
  <c r="V14" i="91" l="1"/>
  <c r="J30" i="91"/>
  <c r="V15" i="91"/>
  <c r="J31" i="91"/>
  <c r="X12" i="91"/>
  <c r="J33" i="91"/>
  <c r="V17" i="91"/>
  <c r="J32" i="91"/>
  <c r="V16" i="91"/>
  <c r="J29" i="91"/>
  <c r="V13" i="91"/>
  <c r="V29" i="91" l="1"/>
  <c r="X29" i="91" s="1"/>
  <c r="X13" i="91"/>
  <c r="X16" i="91"/>
  <c r="V32" i="91"/>
  <c r="X32" i="91" s="1"/>
  <c r="X17" i="91"/>
  <c r="V33" i="91"/>
  <c r="X33" i="91" s="1"/>
  <c r="V11" i="91"/>
  <c r="J28" i="91"/>
  <c r="J36" i="91" s="1"/>
  <c r="J25" i="91"/>
  <c r="X15" i="91"/>
  <c r="V31" i="91"/>
  <c r="X31" i="91" s="1"/>
  <c r="X14" i="91"/>
  <c r="V30" i="91"/>
  <c r="X30" i="91" s="1"/>
  <c r="V28" i="91" l="1"/>
  <c r="V25" i="91"/>
  <c r="X11" i="91"/>
  <c r="X25" i="91" l="1"/>
  <c r="V36" i="91"/>
  <c r="X36" i="91" s="1"/>
  <c r="X28" i="91"/>
  <c r="Z17" i="91" l="1"/>
  <c r="Y33" i="91"/>
  <c r="Z33" i="91" s="1"/>
  <c r="AA17" i="91"/>
  <c r="Y29" i="91"/>
  <c r="Z29" i="91" s="1"/>
  <c r="AA13" i="91"/>
  <c r="Z13" i="91"/>
  <c r="AA15" i="91"/>
  <c r="Y31" i="91"/>
  <c r="Z31" i="91" s="1"/>
  <c r="Z15" i="91"/>
  <c r="Y30" i="91" l="1"/>
  <c r="Z30" i="91" s="1"/>
  <c r="Z14" i="91"/>
  <c r="AA14" i="91"/>
  <c r="AA31" i="91"/>
  <c r="AC31" i="91" s="1"/>
  <c r="AC15" i="91"/>
  <c r="AB15" i="91"/>
  <c r="AB31" i="91" s="1"/>
  <c r="AA33" i="91"/>
  <c r="AC33" i="91" s="1"/>
  <c r="AC17" i="91"/>
  <c r="AB17" i="91"/>
  <c r="AB33" i="91" s="1"/>
  <c r="AA16" i="91"/>
  <c r="Y32" i="91"/>
  <c r="Z32" i="91" s="1"/>
  <c r="Z16" i="91"/>
  <c r="J35" i="92"/>
  <c r="M35" i="92"/>
  <c r="AC13" i="91"/>
  <c r="AA29" i="91"/>
  <c r="AC29" i="91" s="1"/>
  <c r="AB13" i="91"/>
  <c r="AB29" i="91" s="1"/>
  <c r="AA30" i="91" l="1"/>
  <c r="AC30" i="91" s="1"/>
  <c r="AC14" i="91"/>
  <c r="AB14" i="91"/>
  <c r="AB30" i="91" s="1"/>
  <c r="N35" i="92"/>
  <c r="N36" i="92" s="1"/>
  <c r="N38" i="92" s="1"/>
  <c r="N39" i="92" s="1"/>
  <c r="N40" i="92" s="1"/>
  <c r="M36" i="92"/>
  <c r="AA32" i="91"/>
  <c r="AC32" i="91" s="1"/>
  <c r="AC16" i="91"/>
  <c r="AB16" i="91"/>
  <c r="AB32" i="91" s="1"/>
  <c r="Z12" i="91"/>
  <c r="AA12" i="91"/>
  <c r="K35" i="92"/>
  <c r="K36" i="92" s="1"/>
  <c r="K38" i="92" s="1"/>
  <c r="K39" i="92" s="1"/>
  <c r="K40" i="92" s="1"/>
  <c r="J36" i="92"/>
  <c r="Z11" i="91" l="1"/>
  <c r="AA11" i="91"/>
  <c r="Y28" i="91"/>
  <c r="Y25" i="91"/>
  <c r="Z25" i="91" s="1"/>
  <c r="AC12" i="91"/>
  <c r="AB12" i="91"/>
  <c r="Y36" i="91" l="1"/>
  <c r="Z36" i="91" s="1"/>
  <c r="Z28" i="91"/>
  <c r="AA25" i="91"/>
  <c r="AC25" i="91" s="1"/>
  <c r="AA28" i="91"/>
  <c r="AC11" i="91"/>
  <c r="AB11" i="91"/>
  <c r="AC28" i="91" l="1"/>
  <c r="AA36" i="91"/>
  <c r="AC36" i="91" s="1"/>
  <c r="AB28" i="91"/>
  <c r="AB36" i="91" s="1"/>
  <c r="AB25" i="91"/>
</calcChain>
</file>

<file path=xl/sharedStrings.xml><?xml version="1.0" encoding="utf-8"?>
<sst xmlns="http://schemas.openxmlformats.org/spreadsheetml/2006/main" count="864" uniqueCount="374">
  <si>
    <t>Sales</t>
  </si>
  <si>
    <t>Commodity</t>
  </si>
  <si>
    <t>Demand</t>
  </si>
  <si>
    <t>Dth/day</t>
  </si>
  <si>
    <t>(a)</t>
  </si>
  <si>
    <t>(b)</t>
  </si>
  <si>
    <t>(d)</t>
  </si>
  <si>
    <t>Demand-1</t>
  </si>
  <si>
    <t>Storage Withdrawals</t>
  </si>
  <si>
    <t>Storage Injections</t>
  </si>
  <si>
    <t>Total</t>
  </si>
  <si>
    <t>Puget Sound Energy</t>
  </si>
  <si>
    <t>Calculation of PGA Demand Rates</t>
  </si>
  <si>
    <t>Line</t>
  </si>
  <si>
    <t>Residential</t>
  </si>
  <si>
    <t>Commercial and Industrial</t>
  </si>
  <si>
    <t>(g)</t>
  </si>
  <si>
    <t>Calculation of PGA Commodity Rates</t>
  </si>
  <si>
    <t>(f)</t>
  </si>
  <si>
    <t>Percent Change</t>
  </si>
  <si>
    <t>Description</t>
  </si>
  <si>
    <t>Current Commodity Rate (Sched. 101)</t>
  </si>
  <si>
    <t>Total Proposed PGA Rates</t>
  </si>
  <si>
    <t>Percent</t>
  </si>
  <si>
    <t>Projected Sales Volume by Month (Therms)</t>
  </si>
  <si>
    <t>Proposed Total Volumetric Rates</t>
  </si>
  <si>
    <t>Current Volumetric Demand Rates (Sched. 101)</t>
  </si>
  <si>
    <t>Current Gas Supply Demand Rates (Sched. 101)</t>
  </si>
  <si>
    <t>Current Volumetric Rates Including RAF (Schedule 101)</t>
  </si>
  <si>
    <t>Revenue Adjustment Factor (RAF)</t>
  </si>
  <si>
    <t>Deliverability Demand</t>
  </si>
  <si>
    <t>Projected Annual Commodity Cost (Revenue Requirement)</t>
  </si>
  <si>
    <t>A</t>
  </si>
  <si>
    <t>B</t>
  </si>
  <si>
    <t>C</t>
  </si>
  <si>
    <t>H</t>
  </si>
  <si>
    <t>Rate Schedule</t>
  </si>
  <si>
    <t>Billing Determinants</t>
  </si>
  <si>
    <t>Interruptible</t>
  </si>
  <si>
    <t>Subtotal</t>
  </si>
  <si>
    <t>Forecasted Sales Volumes and Customer Counts</t>
  </si>
  <si>
    <t>NWP Delivery Upgrade Contracts</t>
  </si>
  <si>
    <t>Westcoast (from Station2)</t>
  </si>
  <si>
    <t xml:space="preserve">Demand </t>
  </si>
  <si>
    <t xml:space="preserve">QPC Clay Basin </t>
  </si>
  <si>
    <t>Commodity Injection</t>
  </si>
  <si>
    <t>JP Owned-Release to Power Book</t>
  </si>
  <si>
    <t>Puget Sound Energy - Gas</t>
  </si>
  <si>
    <t>Line No.</t>
  </si>
  <si>
    <t>Unit Demand Costs from Cost Study (1)</t>
  </si>
  <si>
    <t>Percent of Total Demand Cost</t>
  </si>
  <si>
    <t>Proposed Gas Supply Demand Rates (Sched. 101)</t>
  </si>
  <si>
    <t>Projected Annual Demand Cost (Revenue Requirement) (2)</t>
  </si>
  <si>
    <t>(2) Allocated based on line 6</t>
  </si>
  <si>
    <t>Estimated PGA Revenue Under Cost of Service Rates (line 4 x line 5)</t>
  </si>
  <si>
    <t>Revenue Under Proposed Gas Supply Demand Rates (line 3 x line 9)</t>
  </si>
  <si>
    <t>Revenue Requirement for Volumetric Charge (line 7 - line 10)</t>
  </si>
  <si>
    <t>Proposed Volumetric Demand Rates (line 11 / line 4)</t>
  </si>
  <si>
    <t>Proposed Schedule 16 Rate per Mantle (line 12 x 19)</t>
  </si>
  <si>
    <t>Proposed Total Demand Revenue ((line 2 x line 12) + (line 3 x line 9))</t>
  </si>
  <si>
    <t>D</t>
  </si>
  <si>
    <t>I</t>
  </si>
  <si>
    <t>J</t>
  </si>
  <si>
    <t>Percent Change in Volumetric Demand Rate</t>
  </si>
  <si>
    <t>Proposed Change in Volumetric Demand Rate (line 12 - line 2)</t>
  </si>
  <si>
    <t>Revenue Under Current Rates (line 17 x line 18)</t>
  </si>
  <si>
    <t>Proposed Commodity Rates (line 20 / line 18)</t>
  </si>
  <si>
    <t>Revenue Under Proposed Rates (line 21 x line 18)</t>
  </si>
  <si>
    <t>Schedule 16 Rate per Mantle (line 21 x 19)</t>
  </si>
  <si>
    <t>Proposed Change in Commodity Rate (line 21 - line 17)</t>
  </si>
  <si>
    <t>Proposed Gas Supply Demand Charge (line 9)</t>
  </si>
  <si>
    <t>Proposed Gas Supply Demand Charge Including RAF (line 26 x (1 + line 27))</t>
  </si>
  <si>
    <t>Proposed Volumetric Demand Rates (line 14)</t>
  </si>
  <si>
    <t>Proposed Commodity Rates (line 21)</t>
  </si>
  <si>
    <t>Proposed Total Volumetric Rates Including RAF (line 31 x (1 + line 27))</t>
  </si>
  <si>
    <t>Schedule 16 Rate per Mantle (line 32 x 19)</t>
  </si>
  <si>
    <t>Proposed Volumetric Change Including RAF (line 32 - line 34)</t>
  </si>
  <si>
    <t>Hedging</t>
  </si>
  <si>
    <t>Shaded Information is Designated as CONFIDENTIAL per WAC 480-07-160</t>
  </si>
  <si>
    <t>cross check</t>
  </si>
  <si>
    <t>E</t>
  </si>
  <si>
    <t>F</t>
  </si>
  <si>
    <t>G</t>
  </si>
  <si>
    <t>Units</t>
  </si>
  <si>
    <t>Res
16, 23 &amp; 53</t>
  </si>
  <si>
    <t>Commercial &amp; Industrial
31 &amp; 31T</t>
  </si>
  <si>
    <t>Large Volume
41 &amp; 41T</t>
  </si>
  <si>
    <t>Interruptible
85 &amp; 85T</t>
  </si>
  <si>
    <t>Limited Interruptible
86 &amp; 86T</t>
  </si>
  <si>
    <t>Non-Exclusive Interruptible
87 &amp; 87T</t>
  </si>
  <si>
    <t>Spl Contracts</t>
  </si>
  <si>
    <t>Annual Throughput (Sales &amp; Transport Excluding Spl Contracts)</t>
  </si>
  <si>
    <t>(Therms)</t>
  </si>
  <si>
    <t>Annual Sales</t>
  </si>
  <si>
    <t>Nov-Mar Winter Throughput (Sales &amp; Transport Excluding Spl Contracts)</t>
  </si>
  <si>
    <t>Nov-Mar Winter Sales</t>
  </si>
  <si>
    <t>Design Day Sales</t>
  </si>
  <si>
    <t>Cost Allocations</t>
  </si>
  <si>
    <t>Indication</t>
  </si>
  <si>
    <t>Winter Sales</t>
  </si>
  <si>
    <t>Design Peak</t>
  </si>
  <si>
    <t>Sys.Balanc'g</t>
  </si>
  <si>
    <t>Williams Northwest Pipeline,  Gas Transmission Northwest, NGTL, Foothills</t>
  </si>
  <si>
    <t>YR Capacity</t>
  </si>
  <si>
    <t>TF-2 for PSE Owned Storage &amp; JP Leased</t>
  </si>
  <si>
    <t>TF-2</t>
  </si>
  <si>
    <t>Jackson Prairie Storage plus Williams Northwest Pipeline TF-2</t>
  </si>
  <si>
    <t>JP</t>
  </si>
  <si>
    <t>Delivered Product Peaking Contract</t>
  </si>
  <si>
    <t>PC</t>
  </si>
  <si>
    <t>Clay Basin Storage</t>
  </si>
  <si>
    <t>CB</t>
  </si>
  <si>
    <t>Illustrative Costs</t>
  </si>
  <si>
    <t>Clay Basin Storage + Credit for release of JP</t>
  </si>
  <si>
    <t>Illustrative Demand Component</t>
  </si>
  <si>
    <t>PGA Demand Component</t>
  </si>
  <si>
    <t>PGA System Balancing Component</t>
  </si>
  <si>
    <t>DEMAND COST</t>
  </si>
  <si>
    <t>Firm Transportation</t>
  </si>
  <si>
    <t>Northwest Pipeline</t>
  </si>
  <si>
    <t>NWP TF-1</t>
  </si>
  <si>
    <t>City of Enumclaw</t>
  </si>
  <si>
    <t>TC Energy</t>
  </si>
  <si>
    <t>NGTL, Foothills, GTN</t>
  </si>
  <si>
    <t>Westcoast Energy</t>
  </si>
  <si>
    <t>Firm Storage Service</t>
  </si>
  <si>
    <t>JP SGS-2F</t>
  </si>
  <si>
    <t>Capacity Demand</t>
  </si>
  <si>
    <t>Dominion Energy Questar Pipeline</t>
  </si>
  <si>
    <t>Firm Lateral Transportation</t>
  </si>
  <si>
    <t>Firm Storage Redelivery Transportation</t>
  </si>
  <si>
    <t>NWP TF-1 Winter Only JP</t>
  </si>
  <si>
    <t>NWP TF-2 (JP)</t>
  </si>
  <si>
    <t>COMMODITY COST</t>
  </si>
  <si>
    <t>Purchased Gas</t>
  </si>
  <si>
    <t>Variable Storage</t>
  </si>
  <si>
    <t>Clay Basin FSS Injection</t>
  </si>
  <si>
    <t>Clay Basin FSS Withdrawal</t>
  </si>
  <si>
    <t>Commodity Withdrawal</t>
  </si>
  <si>
    <t>Variable Pipeline</t>
  </si>
  <si>
    <t>Delivery</t>
  </si>
  <si>
    <t>Redelivery</t>
  </si>
  <si>
    <t>Storage Activity</t>
  </si>
  <si>
    <t>RNG</t>
  </si>
  <si>
    <t>RNG Market Premium</t>
  </si>
  <si>
    <t>Hedging Program (+Loss/-Gain)</t>
  </si>
  <si>
    <t xml:space="preserve">CONVERSION FACTOR INCL FEDERAL INCOME TAX ( LINE 5 + LINE 8 ) </t>
  </si>
  <si>
    <t>FEDERAL INCOME TAX ( LINE 7 * 21%)</t>
  </si>
  <si>
    <t>CONVERSION FACTOR EXCLUDING FEDERAL INCOME TAX ( 1 - LINE 5)</t>
  </si>
  <si>
    <t>SUM OF TAXES OTHER</t>
  </si>
  <si>
    <t>ANNUAL FILING FEE</t>
  </si>
  <si>
    <t>BAD DEBTS</t>
  </si>
  <si>
    <t>RATE</t>
  </si>
  <si>
    <t>DESCRIPTION</t>
  </si>
  <si>
    <t>NO.</t>
  </si>
  <si>
    <t>LINE</t>
  </si>
  <si>
    <t>2022 GENERAL RATE CASE</t>
  </si>
  <si>
    <t>Projected Demand Volume by Month (Therms)</t>
  </si>
  <si>
    <t>Gas Resource Demand Cost Allocation</t>
  </si>
  <si>
    <t>Shaded information is designated as confidential per WAC 480-07-160.</t>
  </si>
  <si>
    <t>PUGET SOUND ENERGY</t>
  </si>
  <si>
    <t>Change from previous PGA</t>
  </si>
  <si>
    <t>Category</t>
  </si>
  <si>
    <t>Group</t>
  </si>
  <si>
    <t>Rate per Dth</t>
  </si>
  <si>
    <t>Demand Cost</t>
  </si>
  <si>
    <t>Commodity Cost</t>
  </si>
  <si>
    <t xml:space="preserve">Commodity </t>
  </si>
  <si>
    <t xml:space="preserve">Total </t>
  </si>
  <si>
    <t xml:space="preserve">% change </t>
  </si>
  <si>
    <t xml:space="preserve">(c) </t>
  </si>
  <si>
    <t xml:space="preserve">(e) </t>
  </si>
  <si>
    <t xml:space="preserve">(d) </t>
  </si>
  <si>
    <t>Dth</t>
  </si>
  <si>
    <t>Plymouth LNG</t>
  </si>
  <si>
    <t>n/a</t>
  </si>
  <si>
    <t>PSEG Intra-Company Release</t>
  </si>
  <si>
    <t xml:space="preserve">PLNG </t>
  </si>
  <si>
    <t>Total Demand Cost</t>
  </si>
  <si>
    <t>Total Commodity Cost</t>
  </si>
  <si>
    <t>Total Gas Cost</t>
  </si>
  <si>
    <t>Total Commodity (Therms)</t>
  </si>
  <si>
    <t>therms</t>
  </si>
  <si>
    <t xml:space="preserve">Upstream Transporation Losses </t>
  </si>
  <si>
    <t xml:space="preserve">Upstream Transportation Losses </t>
  </si>
  <si>
    <t>WACOG per Therm</t>
  </si>
  <si>
    <t>2022 Gas General Rate Case (Docket UG-220067)</t>
  </si>
  <si>
    <t>Calculation of Schedule 101 Rates</t>
  </si>
  <si>
    <t>(1) 2022 Gas General Rate Case (Docket UG-220067) Compliance Filing, Gas Resource Allocation Cost of Service model.</t>
  </si>
  <si>
    <t>Source: 2022 Gas General Rate Case (Docket UG-220067) Compliance Filing, Gas Resource Allocation Cost of Service model.</t>
  </si>
  <si>
    <t>Test Year Ended June 30, 2021</t>
  </si>
  <si>
    <t>Over/(Under) 5% RNG Limit</t>
  </si>
  <si>
    <t>5% RNG Limit  (Rev. Req. x 5%)</t>
  </si>
  <si>
    <t>Total GRC &amp; PGA Revenue Requirement</t>
  </si>
  <si>
    <t>RNG 5% Limit Calculation</t>
  </si>
  <si>
    <t>RNG % of Revenue Requirement</t>
  </si>
  <si>
    <t>2022 GRC (UG-220067) PGA Sch. 101 Revenue Requirement</t>
  </si>
  <si>
    <t>2022 GRC (UG-220067)PGA Sch. 106 Revenue Requirement</t>
  </si>
  <si>
    <t>2024 Gas Schedule 101 Purchased Gas Adjustment (PGA) Filing</t>
  </si>
  <si>
    <t>Proposed Rates Effective November 1, 2024</t>
  </si>
  <si>
    <r>
      <t xml:space="preserve">Projected Contract Demand </t>
    </r>
    <r>
      <rPr>
        <sz val="8"/>
        <color rgb="FF0000FF"/>
        <rFont val="Arial"/>
        <family val="2"/>
      </rPr>
      <t>Nov.24-Oct 25</t>
    </r>
    <r>
      <rPr>
        <sz val="8"/>
        <rFont val="Arial"/>
        <family val="2"/>
      </rPr>
      <t xml:space="preserve"> (therms)</t>
    </r>
  </si>
  <si>
    <r>
      <t xml:space="preserve">Projected Volume </t>
    </r>
    <r>
      <rPr>
        <sz val="8"/>
        <color rgb="FF0000FF"/>
        <rFont val="Arial"/>
        <family val="2"/>
      </rPr>
      <t>Nov. 24 - Oct. 25</t>
    </r>
    <r>
      <rPr>
        <sz val="8"/>
        <rFont val="Arial"/>
        <family val="2"/>
      </rPr>
      <t xml:space="preserve"> (therms)</t>
    </r>
  </si>
  <si>
    <t>Source: F2024 Forecast (5-30-24)</t>
  </si>
  <si>
    <t>2024 Gas Purchased Gas Adjustment (PGA) Filing</t>
  </si>
  <si>
    <t>Incremental RNG Cost in 2024 PGA Filing</t>
  </si>
  <si>
    <t>2022 GRC (UG-220067) Revenue Requirement (CY2024)</t>
  </si>
  <si>
    <t>check</t>
  </si>
  <si>
    <t>Contracts</t>
  </si>
  <si>
    <t>88T</t>
  </si>
  <si>
    <t>Exclusive interruptible</t>
  </si>
  <si>
    <t>87,87T</t>
  </si>
  <si>
    <t>Non-exclusive interruptible</t>
  </si>
  <si>
    <t>86,86T</t>
  </si>
  <si>
    <t>Limited interruptible</t>
  </si>
  <si>
    <t>85,85T</t>
  </si>
  <si>
    <t>41,41T</t>
  </si>
  <si>
    <t>Large volume</t>
  </si>
  <si>
    <t>31,31T</t>
  </si>
  <si>
    <t>Commercial &amp; industrial</t>
  </si>
  <si>
    <t>16,23,53</t>
  </si>
  <si>
    <t>By Customer Class:</t>
  </si>
  <si>
    <t>Exclusive Interruptible Transportation</t>
  </si>
  <si>
    <t>87T</t>
  </si>
  <si>
    <t>Non-exclusive Interruptible Transportation</t>
  </si>
  <si>
    <t>86T</t>
  </si>
  <si>
    <t>Limited Interruptible Transportation</t>
  </si>
  <si>
    <t>85T</t>
  </si>
  <si>
    <t>Interruptible Transportation</t>
  </si>
  <si>
    <t>41T</t>
  </si>
  <si>
    <t>Large Volume Transportation</t>
  </si>
  <si>
    <t>31T</t>
  </si>
  <si>
    <t>Commercial &amp; Industrial Transportation</t>
  </si>
  <si>
    <t>Non-exclusive Interruptible</t>
  </si>
  <si>
    <t>Limited Interruptible</t>
  </si>
  <si>
    <t>Large Volume</t>
  </si>
  <si>
    <t>Commercial &amp; Industrial</t>
  </si>
  <si>
    <t>Residential Gas Lights</t>
  </si>
  <si>
    <t>23,53</t>
  </si>
  <si>
    <t>AB=Z/U</t>
  </si>
  <si>
    <t>AA=U+Z</t>
  </si>
  <si>
    <t>Z=V+X</t>
  </si>
  <si>
    <t>Y=X/U</t>
  </si>
  <si>
    <t>X</t>
  </si>
  <si>
    <t>W=V/U</t>
  </si>
  <si>
    <t>V</t>
  </si>
  <si>
    <t>U=sum(G:T)</t>
  </si>
  <si>
    <t>T</t>
  </si>
  <si>
    <t>S</t>
  </si>
  <si>
    <t>R</t>
  </si>
  <si>
    <t>Q</t>
  </si>
  <si>
    <t>P</t>
  </si>
  <si>
    <t>O</t>
  </si>
  <si>
    <t>N</t>
  </si>
  <si>
    <t>M</t>
  </si>
  <si>
    <t>L</t>
  </si>
  <si>
    <t>K</t>
  </si>
  <si>
    <t xml:space="preserve">G=E*F </t>
  </si>
  <si>
    <t xml:space="preserve">F </t>
  </si>
  <si>
    <t>E=D/C</t>
  </si>
  <si>
    <t>Change</t>
  </si>
  <si>
    <t>Proposed Rates</t>
  </si>
  <si>
    <t>Revenue</t>
  </si>
  <si>
    <t>Oct. 2025</t>
  </si>
  <si>
    <t>$/Therm</t>
  </si>
  <si>
    <t>Schedule</t>
  </si>
  <si>
    <t>Rate Class</t>
  </si>
  <si>
    <t>No.</t>
  </si>
  <si>
    <t xml:space="preserve">Revenue at </t>
  </si>
  <si>
    <t>Sch. 142</t>
  </si>
  <si>
    <t>Sch. 141R</t>
  </si>
  <si>
    <t>Sch. 141PFG</t>
  </si>
  <si>
    <t>Sch. 141N</t>
  </si>
  <si>
    <t>Sch. 141LNG</t>
  </si>
  <si>
    <t>Sch. 141D</t>
  </si>
  <si>
    <t>Sch. 140</t>
  </si>
  <si>
    <t>Sch. 129D</t>
  </si>
  <si>
    <t>Sch. 129</t>
  </si>
  <si>
    <t>Sch. 120</t>
  </si>
  <si>
    <t>Sch. 111</t>
  </si>
  <si>
    <t>Sch. 106</t>
  </si>
  <si>
    <t>Sch. 101</t>
  </si>
  <si>
    <t>Base Schedule</t>
  </si>
  <si>
    <t>Nov. 2024 -</t>
  </si>
  <si>
    <t>Rate</t>
  </si>
  <si>
    <t>Volume</t>
  </si>
  <si>
    <t>Total Forecasted</t>
  </si>
  <si>
    <t>PGA</t>
  </si>
  <si>
    <t>Therms</t>
  </si>
  <si>
    <t>Base Sch.</t>
  </si>
  <si>
    <t>UG-220067</t>
  </si>
  <si>
    <t>12ME Oct. 2025</t>
  </si>
  <si>
    <t>Forecasted</t>
  </si>
  <si>
    <t>Rate Change Impacts by Rate Schedule</t>
  </si>
  <si>
    <t>2024 Gas Schedule 101 &amp; 106 Purchased Gas Adjustment Filing</t>
  </si>
  <si>
    <t>Total volumetric rates less gas costs</t>
  </si>
  <si>
    <t>Percent change from bill under current rates</t>
  </si>
  <si>
    <t>Change from bill under current rates</t>
  </si>
  <si>
    <t>Total monthly bill</t>
  </si>
  <si>
    <t>Total volumetric charges</t>
  </si>
  <si>
    <t>Gas cost amort. charge (Sch. 106)</t>
  </si>
  <si>
    <t>Gas cost charge (Sch. 101)</t>
  </si>
  <si>
    <t>Cap &amp; Invest charge (Sch. 111)</t>
  </si>
  <si>
    <t>Decoupling charge (Sch. 142)</t>
  </si>
  <si>
    <t>Rates Subject to Refund (Sch. 141R)</t>
  </si>
  <si>
    <t>Participatory Funding (Sch. 141PFG)</t>
  </si>
  <si>
    <t>Rates Not Subject to Refund (Sch. 141N)</t>
  </si>
  <si>
    <t>LNG charge (Sch. 141LNG)</t>
  </si>
  <si>
    <t>Dist. Pipeline Provisional (Sch. 141D)</t>
  </si>
  <si>
    <t>Property Tax charge (Sch. 140)</t>
  </si>
  <si>
    <t>Low Income Discount charge (Sch. 129D)</t>
  </si>
  <si>
    <t>Low Income charge (Sch. 129)</t>
  </si>
  <si>
    <t>Conservation charge (Sch. 120)</t>
  </si>
  <si>
    <t>Delivery charge (Sch. 23)</t>
  </si>
  <si>
    <t>Volumetric charges ($/therm)</t>
  </si>
  <si>
    <t>Cap &amp; Invest Non-Vol Credit (Sch. 111)</t>
  </si>
  <si>
    <t>Basic charge (Sch. 23)</t>
  </si>
  <si>
    <t>Customer charge ($/month)</t>
  </si>
  <si>
    <t>Volume (therms)</t>
  </si>
  <si>
    <t>Charges</t>
  </si>
  <si>
    <t>Rates</t>
  </si>
  <si>
    <t>Total Rate Change</t>
  </si>
  <si>
    <t>Rate Change</t>
  </si>
  <si>
    <t>Current Rates</t>
  </si>
  <si>
    <t>Schedule 106 PGA Amort.</t>
  </si>
  <si>
    <t>Schedule 101 PGA</t>
  </si>
  <si>
    <t>Typical Residential Bill Impacts</t>
  </si>
  <si>
    <t>Demand Charge</t>
  </si>
  <si>
    <t>Delivery Charge:</t>
  </si>
  <si>
    <t>Schedule 87 Non-exclusive Interruptible - Sales</t>
  </si>
  <si>
    <t>Schedule 86 Limited Interruptible - Sales</t>
  </si>
  <si>
    <t>Schedule 85 Interruptible - Sales</t>
  </si>
  <si>
    <t>Schedule 41 Large Volume High Load Factor - Sales</t>
  </si>
  <si>
    <t>Delivery Charge</t>
  </si>
  <si>
    <t>Schedule 31 Commercial &amp; Industrial - Sales</t>
  </si>
  <si>
    <t>Schedule 16 Gas Lights</t>
  </si>
  <si>
    <t>Schedule 23 Residential</t>
  </si>
  <si>
    <t>Sched 101</t>
  </si>
  <si>
    <t>Volume (Therms)</t>
  </si>
  <si>
    <t>Proposed</t>
  </si>
  <si>
    <t>Current</t>
  </si>
  <si>
    <t>Purchased Gas Adjustment</t>
  </si>
  <si>
    <t>Gas Schedule 101</t>
  </si>
  <si>
    <t>PGA cost proposed to be effective 11.01.2024</t>
  </si>
  <si>
    <t>12 MONTHS ENDED JUNE 30, 2021</t>
  </si>
  <si>
    <t>RATE YEARS CALENDAR 2023 AND 2024</t>
  </si>
  <si>
    <t>CONVERSION FACTOR</t>
  </si>
  <si>
    <t>PUGET SOUND ENERGY - Gas</t>
  </si>
  <si>
    <t>Gas RESULTS OF OPERATIONS</t>
  </si>
  <si>
    <t>Source: PSE 2022 GRC (Docket UG-220067), with updated annual filing fee.</t>
  </si>
  <si>
    <t>(e)</t>
  </si>
  <si>
    <t xml:space="preserve">(f) </t>
  </si>
  <si>
    <t>(h)</t>
  </si>
  <si>
    <t>(I)</t>
  </si>
  <si>
    <t>PGA cost effective 11.01.2023</t>
  </si>
  <si>
    <r>
      <t>(Therms)</t>
    </r>
    <r>
      <rPr>
        <vertAlign val="superscript"/>
        <sz val="8"/>
        <color theme="1"/>
        <rFont val="Arial"/>
        <family val="2"/>
      </rPr>
      <t xml:space="preserve"> (1)</t>
    </r>
  </si>
  <si>
    <r>
      <t>Revenue</t>
    </r>
    <r>
      <rPr>
        <vertAlign val="superscript"/>
        <sz val="8"/>
        <color theme="1"/>
        <rFont val="Arial"/>
        <family val="2"/>
      </rPr>
      <t xml:space="preserve"> (1)</t>
    </r>
  </si>
  <si>
    <r>
      <t>Current Rates</t>
    </r>
    <r>
      <rPr>
        <vertAlign val="superscript"/>
        <sz val="8"/>
        <color theme="1"/>
        <rFont val="Arial"/>
        <family val="2"/>
      </rPr>
      <t xml:space="preserve"> (2)</t>
    </r>
  </si>
  <si>
    <r>
      <rPr>
        <vertAlign val="superscript"/>
        <sz val="8"/>
        <color theme="1"/>
        <rFont val="Arial"/>
        <family val="2"/>
      </rPr>
      <t xml:space="preserve">(1) </t>
    </r>
    <r>
      <rPr>
        <sz val="8"/>
        <rFont val="Arial"/>
        <family val="2"/>
      </rPr>
      <t>Weather normalized volume and base schedule margin for 12 months ending June 2021, at approved rates from UG-220067 GRC compliance filing.</t>
    </r>
  </si>
  <si>
    <r>
      <t>Rates</t>
    </r>
    <r>
      <rPr>
        <vertAlign val="superscript"/>
        <sz val="8"/>
        <rFont val="Arial"/>
        <family val="2"/>
      </rPr>
      <t xml:space="preserve"> (1)</t>
    </r>
  </si>
  <si>
    <t>2024-2023</t>
  </si>
  <si>
    <r>
      <rPr>
        <vertAlign val="superscript"/>
        <sz val="8"/>
        <color theme="1"/>
        <rFont val="Arial"/>
        <family val="2"/>
      </rPr>
      <t xml:space="preserve">(2) </t>
    </r>
    <r>
      <rPr>
        <sz val="8"/>
        <rFont val="Arial"/>
        <family val="2"/>
      </rPr>
      <t>Forecasted revenues at current rates effective September 01, 2024.</t>
    </r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</si>
  <si>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Rates for Schedule 23 customers in effect September 01, 2024.</t>
    </r>
  </si>
  <si>
    <t>Average Rate Per Therm Impacts by Rate Schedule</t>
  </si>
  <si>
    <t>Average Rate</t>
  </si>
  <si>
    <t>Nov. 2024 - Oct. 2025</t>
  </si>
  <si>
    <t>Per Therm</t>
  </si>
  <si>
    <t>% Change</t>
  </si>
  <si>
    <t>E = D/C</t>
  </si>
  <si>
    <t>H = G/F</t>
  </si>
  <si>
    <t>I = (G-D)/D</t>
  </si>
  <si>
    <t>Exclusive Interruptible</t>
  </si>
  <si>
    <r>
      <t>Current Rates</t>
    </r>
    <r>
      <rPr>
        <vertAlign val="superscript"/>
        <sz val="8"/>
        <color theme="1"/>
        <rFont val="Arial"/>
        <family val="2"/>
      </rPr>
      <t xml:space="preserve"> (1)</t>
    </r>
  </si>
  <si>
    <r>
      <rPr>
        <vertAlign val="superscript"/>
        <sz val="8"/>
        <color theme="1"/>
        <rFont val="Arial"/>
        <family val="2"/>
      </rPr>
      <t xml:space="preserve">(1) </t>
    </r>
    <r>
      <rPr>
        <sz val="8"/>
        <rFont val="Arial"/>
        <family val="2"/>
      </rPr>
      <t>Rates effective September 01 2024</t>
    </r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</si>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</sst>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_);\(&quot;$&quot;#,##0.0000\)"/>
    <numFmt numFmtId="165" formatCode="&quot;$&quot;#,##0.000"/>
    <numFmt numFmtId="166" formatCode="_(&quot;$&quot;* #,##0_);_(&quot;$&quot;* \(#,##0\);_(&quot;$&quot;* &quot;-&quot;??_);_(@_)"/>
    <numFmt numFmtId="167" formatCode="0.0000%"/>
    <numFmt numFmtId="168" formatCode="_(* #,##0_);_(* \(#,##0\);_(* &quot;-&quot;??_);_(@_)"/>
    <numFmt numFmtId="169" formatCode="_(&quot;$&quot;* #,##0.00000_);_(&quot;$&quot;* \(#,##0.00000\);_(&quot;$&quot;* &quot;-&quot;??_);_(@_)"/>
    <numFmt numFmtId="170" formatCode="0.0%"/>
    <numFmt numFmtId="171" formatCode="&quot;$&quot;#,##0.00000_);\(&quot;$&quot;#,##0.00000\)"/>
    <numFmt numFmtId="172" formatCode="#,##0.00000_);\(#,##0.00000\)"/>
    <numFmt numFmtId="173" formatCode="_(&quot;$&quot;* #,##0.00000_);_(&quot;$&quot;* \(#,##0.00000\);_(&quot;$&quot;* &quot;-&quot;?????_);_(@_)"/>
    <numFmt numFmtId="174" formatCode="_(&quot;$&quot;* #,##0.00_);_(&quot;$&quot;* \(#,##0.00\);_(&quot;$&quot;* &quot;-&quot;?????_);_(@_)"/>
    <numFmt numFmtId="175" formatCode="_(&quot;$&quot;* #,##0.00_);_(&quot;$&quot;* \(#,##0.00\);_(&quot;$&quot;* &quot;-&quot;_);_(@_)"/>
    <numFmt numFmtId="176" formatCode="_(* #,##0.0000_);_(* \(#,##0.0000\);_(* &quot;-&quot;??_);_(@_)"/>
    <numFmt numFmtId="177" formatCode="mmm\-yyyy"/>
    <numFmt numFmtId="178" formatCode="_(* #,##0.000000_);_(* \(#,##0.000000\);_(* &quot;-&quot;??_);_(@_)"/>
    <numFmt numFmtId="179" formatCode="0.00000000"/>
    <numFmt numFmtId="180" formatCode="0.000000"/>
    <numFmt numFmtId="181" formatCode="#,##0.00000"/>
    <numFmt numFmtId="182" formatCode="&quot;$&quot;#,##0.00"/>
    <numFmt numFmtId="183" formatCode="&quot;$&quot;#,##0.000_);\(&quot;$&quot;#,##0.000\)"/>
    <numFmt numFmtId="184" formatCode="&quot;$&quot;#,##0"/>
    <numFmt numFmtId="185" formatCode="_(&quot;$&quot;* #,##0_);_(&quot;$&quot;* \(#,##0\);_(&quot;$&quot;* &quot;-&quot;?????_);_(@_)"/>
  </numFmts>
  <fonts count="28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rgb="FF008080"/>
      <name val="Arial"/>
      <family val="2"/>
    </font>
    <font>
      <b/>
      <sz val="8"/>
      <color rgb="FF009999"/>
      <name val="Arial"/>
      <family val="2"/>
    </font>
    <font>
      <sz val="8"/>
      <color rgb="FF009999"/>
      <name val="Arial"/>
      <family val="2"/>
    </font>
    <font>
      <sz val="8"/>
      <color indexed="21"/>
      <name val="Arial"/>
      <family val="2"/>
    </font>
    <font>
      <sz val="8"/>
      <color rgb="FF0000FF"/>
      <name val="Arial"/>
      <family val="2"/>
    </font>
    <font>
      <sz val="8"/>
      <color indexed="57"/>
      <name val="Arial"/>
      <family val="2"/>
    </font>
    <font>
      <sz val="8"/>
      <color rgb="FF00808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8"/>
      <color theme="1"/>
      <name val="Arial"/>
      <family val="2"/>
    </font>
    <font>
      <sz val="8"/>
      <color theme="5" tint="-0.249977111117893"/>
      <name val="Arial"/>
      <family val="2"/>
    </font>
    <font>
      <sz val="8"/>
      <color theme="1"/>
      <name val="Calibri"/>
      <family val="2"/>
      <scheme val="minor"/>
    </font>
    <font>
      <sz val="8"/>
      <color rgb="FF006100"/>
      <name val="Arial"/>
      <family val="2"/>
    </font>
    <font>
      <i/>
      <sz val="8"/>
      <color rgb="FF0000FF"/>
      <name val="Arial"/>
      <family val="2"/>
    </font>
    <font>
      <vertAlign val="superscript"/>
      <sz val="8"/>
      <color theme="1"/>
      <name val="Arial"/>
      <family val="2"/>
    </font>
    <font>
      <u/>
      <sz val="8"/>
      <name val="Arial"/>
      <family val="2"/>
    </font>
    <font>
      <vertAlign val="superscript"/>
      <sz val="8"/>
      <name val="Arial"/>
      <family val="2"/>
    </font>
    <font>
      <sz val="8"/>
      <color indexed="12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color rgb="FF0000FF"/>
      <name val="Courier New"/>
      <family val="3"/>
    </font>
    <font>
      <b/>
      <sz val="8"/>
      <color rgb="FFFF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 style="thin">
        <color rgb="FFFFFF66"/>
      </top>
      <bottom style="thin">
        <color rgb="FFFFFF66"/>
      </bottom>
      <diagonal/>
    </border>
    <border>
      <left style="thin">
        <color rgb="FFFFFF66"/>
      </left>
      <right/>
      <top style="thin">
        <color rgb="FFFFFF66"/>
      </top>
      <bottom style="thin">
        <color rgb="FFFFFF66"/>
      </bottom>
      <diagonal/>
    </border>
    <border>
      <left style="thin">
        <color rgb="FFFFFF66"/>
      </left>
      <right style="thin">
        <color rgb="FFFFFF66"/>
      </right>
      <top/>
      <bottom style="thin">
        <color rgb="FFFFFF66"/>
      </bottom>
      <diagonal/>
    </border>
    <border>
      <left style="thin">
        <color rgb="FFFFFF66"/>
      </left>
      <right style="thin">
        <color rgb="FFFFFF66"/>
      </right>
      <top style="thin">
        <color rgb="FFFFFF66"/>
      </top>
      <bottom/>
      <diagonal/>
    </border>
    <border>
      <left/>
      <right style="thin">
        <color rgb="FFFFFF66"/>
      </right>
      <top/>
      <bottom/>
      <diagonal/>
    </border>
    <border>
      <left/>
      <right/>
      <top style="thin">
        <color rgb="FFFFFF00"/>
      </top>
      <bottom style="thin">
        <color rgb="FFFFFF00"/>
      </bottom>
      <diagonal/>
    </border>
    <border>
      <left style="thin">
        <color rgb="FFFFFF00"/>
      </left>
      <right/>
      <top style="thin">
        <color rgb="FFFFFF00"/>
      </top>
      <bottom style="thin">
        <color rgb="FFFFFF00"/>
      </bottom>
      <diagonal/>
    </border>
    <border>
      <left/>
      <right style="thin">
        <color indexed="64"/>
      </right>
      <top/>
      <bottom style="thin">
        <color rgb="FFFFFF66"/>
      </bottom>
      <diagonal/>
    </border>
    <border>
      <left/>
      <right style="thin">
        <color indexed="64"/>
      </right>
      <top style="thin">
        <color rgb="FFFFFF00"/>
      </top>
      <bottom/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 style="thin">
        <color rgb="FFFFFF00"/>
      </right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 style="thin">
        <color indexed="64"/>
      </right>
      <top/>
      <bottom style="thin">
        <color rgb="FFFFFF00"/>
      </bottom>
      <diagonal/>
    </border>
    <border>
      <left/>
      <right style="thin">
        <color rgb="FFFFFF00"/>
      </right>
      <top style="thin">
        <color rgb="FFFFFF00"/>
      </top>
      <bottom style="thin">
        <color rgb="FFFFFF00"/>
      </bottom>
      <diagonal/>
    </border>
    <border>
      <left/>
      <right style="thin">
        <color rgb="FFFFFF66"/>
      </right>
      <top/>
      <bottom style="thin">
        <color rgb="FFFFFF66"/>
      </bottom>
      <diagonal/>
    </border>
    <border>
      <left/>
      <right style="thin">
        <color rgb="FFFFFF66"/>
      </right>
      <top style="thin">
        <color rgb="FFFFFF00"/>
      </top>
      <bottom/>
      <diagonal/>
    </border>
    <border>
      <left/>
      <right style="thin">
        <color rgb="FFFFFF66"/>
      </right>
      <top style="thin">
        <color rgb="FFFFFF66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 style="thin">
        <color rgb="FFFFFF66"/>
      </left>
      <right/>
      <top style="thin">
        <color rgb="FFFFFF66"/>
      </top>
      <bottom/>
      <diagonal/>
    </border>
    <border>
      <left style="thin">
        <color rgb="FFFFFF66"/>
      </left>
      <right/>
      <top/>
      <bottom style="thin">
        <color rgb="FFFFFF66"/>
      </bottom>
      <diagonal/>
    </border>
    <border>
      <left style="thin">
        <color rgb="FFFFFF66"/>
      </left>
      <right style="thin">
        <color rgb="FFFFFF66"/>
      </right>
      <top/>
      <bottom/>
      <diagonal/>
    </border>
    <border>
      <left/>
      <right/>
      <top style="thin">
        <color rgb="FFFFFF66"/>
      </top>
      <bottom/>
      <diagonal/>
    </border>
    <border>
      <left/>
      <right/>
      <top/>
      <bottom style="thin">
        <color rgb="FFFFFF66"/>
      </bottom>
      <diagonal/>
    </border>
  </borders>
  <cellStyleXfs count="3">
    <xf numFmtId="0" fontId="0" fillId="0" borderId="0"/>
    <xf numFmtId="0" fontId="27" fillId="0" borderId="0"/>
    <xf numFmtId="0" fontId="27" fillId="0" borderId="0"/>
  </cellStyleXfs>
  <cellXfs count="560">
    <xf numFmtId="0" fontId="0" fillId="0" borderId="0" xfId="0"/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44" fontId="8" fillId="0" borderId="0" xfId="0" applyNumberFormat="1" applyFont="1" applyFill="1"/>
    <xf numFmtId="170" fontId="1" fillId="0" borderId="0" xfId="0" applyNumberFormat="1" applyFont="1" applyFill="1"/>
    <xf numFmtId="173" fontId="1" fillId="0" borderId="0" xfId="0" applyNumberFormat="1" applyFont="1" applyFill="1" applyBorder="1"/>
    <xf numFmtId="42" fontId="1" fillId="0" borderId="0" xfId="0" applyNumberFormat="1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Continuous"/>
    </xf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173" fontId="1" fillId="0" borderId="3" xfId="0" applyNumberFormat="1" applyFont="1" applyFill="1" applyBorder="1"/>
    <xf numFmtId="0" fontId="3" fillId="0" borderId="0" xfId="0" applyFont="1" applyFill="1" applyAlignment="1"/>
    <xf numFmtId="0" fontId="3" fillId="0" borderId="0" xfId="0" applyFont="1" applyFill="1"/>
    <xf numFmtId="168" fontId="1" fillId="0" borderId="0" xfId="0" applyNumberFormat="1" applyFont="1" applyFill="1" applyBorder="1"/>
    <xf numFmtId="37" fontId="1" fillId="0" borderId="0" xfId="0" applyNumberFormat="1" applyFont="1" applyFill="1"/>
    <xf numFmtId="37" fontId="1" fillId="0" borderId="0" xfId="0" applyNumberFormat="1" applyFont="1" applyFill="1" applyBorder="1"/>
    <xf numFmtId="0" fontId="1" fillId="0" borderId="0" xfId="0" applyFont="1" applyFill="1" applyAlignment="1">
      <alignment horizontal="left"/>
    </xf>
    <xf numFmtId="0" fontId="1" fillId="0" borderId="0" xfId="0" applyNumberFormat="1" applyFont="1" applyFill="1" applyAlignment="1"/>
    <xf numFmtId="0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/>
    <xf numFmtId="41" fontId="3" fillId="0" borderId="2" xfId="0" applyNumberFormat="1" applyFont="1" applyFill="1" applyBorder="1" applyAlignment="1">
      <alignment horizontal="center" wrapText="1"/>
    </xf>
    <xf numFmtId="0" fontId="1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left"/>
    </xf>
    <xf numFmtId="175" fontId="1" fillId="0" borderId="0" xfId="0" applyNumberFormat="1" applyFont="1" applyFill="1"/>
    <xf numFmtId="9" fontId="1" fillId="0" borderId="0" xfId="0" applyNumberFormat="1" applyFont="1" applyFill="1"/>
    <xf numFmtId="0" fontId="11" fillId="0" borderId="0" xfId="0" applyFont="1" applyFill="1"/>
    <xf numFmtId="37" fontId="14" fillId="0" borderId="8" xfId="0" applyNumberFormat="1" applyFont="1" applyFill="1" applyBorder="1" applyAlignment="1" applyProtection="1">
      <alignment horizontal="center" vertical="center" wrapText="1"/>
    </xf>
    <xf numFmtId="37" fontId="14" fillId="0" borderId="1" xfId="0" applyNumberFormat="1" applyFont="1" applyFill="1" applyBorder="1" applyAlignment="1" applyProtection="1">
      <alignment horizontal="center" vertical="center" wrapText="1"/>
    </xf>
    <xf numFmtId="37" fontId="14" fillId="0" borderId="6" xfId="0" applyNumberFormat="1" applyFont="1" applyFill="1" applyBorder="1" applyAlignment="1" applyProtection="1">
      <alignment horizontal="center" vertical="center" wrapText="1"/>
    </xf>
    <xf numFmtId="10" fontId="12" fillId="0" borderId="14" xfId="0" applyNumberFormat="1" applyFont="1" applyFill="1" applyBorder="1"/>
    <xf numFmtId="10" fontId="12" fillId="0" borderId="0" xfId="0" applyNumberFormat="1" applyFont="1" applyFill="1" applyBorder="1"/>
    <xf numFmtId="10" fontId="12" fillId="0" borderId="7" xfId="0" applyNumberFormat="1" applyFont="1" applyFill="1" applyBorder="1"/>
    <xf numFmtId="168" fontId="12" fillId="0" borderId="14" xfId="0" applyNumberFormat="1" applyFont="1" applyFill="1" applyBorder="1"/>
    <xf numFmtId="168" fontId="12" fillId="0" borderId="0" xfId="0" applyNumberFormat="1" applyFont="1" applyFill="1" applyBorder="1"/>
    <xf numFmtId="168" fontId="12" fillId="0" borderId="7" xfId="0" applyNumberFormat="1" applyFont="1" applyFill="1" applyBorder="1"/>
    <xf numFmtId="10" fontId="12" fillId="0" borderId="4" xfId="0" applyNumberFormat="1" applyFont="1" applyFill="1" applyBorder="1"/>
    <xf numFmtId="10" fontId="12" fillId="0" borderId="2" xfId="0" applyNumberFormat="1" applyFont="1" applyFill="1" applyBorder="1"/>
    <xf numFmtId="10" fontId="12" fillId="0" borderId="5" xfId="0" applyNumberFormat="1" applyFont="1" applyFill="1" applyBorder="1"/>
    <xf numFmtId="0" fontId="12" fillId="0" borderId="10" xfId="0" applyFont="1" applyFill="1" applyBorder="1"/>
    <xf numFmtId="0" fontId="12" fillId="0" borderId="11" xfId="0" applyFont="1" applyFill="1" applyBorder="1"/>
    <xf numFmtId="0" fontId="12" fillId="0" borderId="8" xfId="0" applyFont="1" applyFill="1" applyBorder="1"/>
    <xf numFmtId="0" fontId="12" fillId="0" borderId="3" xfId="0" applyFont="1" applyFill="1" applyBorder="1"/>
    <xf numFmtId="0" fontId="12" fillId="0" borderId="0" xfId="0" applyFont="1" applyFill="1" applyBorder="1"/>
    <xf numFmtId="0" fontId="14" fillId="0" borderId="0" xfId="0" applyFont="1" applyFill="1" applyBorder="1"/>
    <xf numFmtId="0" fontId="12" fillId="0" borderId="16" xfId="0" applyFont="1" applyFill="1" applyBorder="1"/>
    <xf numFmtId="0" fontId="12" fillId="0" borderId="14" xfId="0" applyFont="1" applyFill="1" applyBorder="1"/>
    <xf numFmtId="173" fontId="1" fillId="0" borderId="0" xfId="0" applyNumberFormat="1" applyFont="1" applyFill="1" applyAlignment="1"/>
    <xf numFmtId="0" fontId="1" fillId="0" borderId="1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Continuous"/>
    </xf>
    <xf numFmtId="0" fontId="1" fillId="0" borderId="6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horizontal="centerContinuous"/>
    </xf>
    <xf numFmtId="0" fontId="11" fillId="0" borderId="0" xfId="0" applyFont="1" applyFill="1" applyAlignment="1">
      <alignment horizontal="right"/>
    </xf>
    <xf numFmtId="3" fontId="1" fillId="0" borderId="0" xfId="0" applyNumberFormat="1" applyFont="1" applyFill="1"/>
    <xf numFmtId="0" fontId="1" fillId="0" borderId="0" xfId="0" applyNumberFormat="1" applyFont="1" applyAlignment="1"/>
    <xf numFmtId="178" fontId="1" fillId="0" borderId="13" xfId="0" applyNumberFormat="1" applyFont="1" applyBorder="1" applyAlignment="1"/>
    <xf numFmtId="179" fontId="1" fillId="0" borderId="0" xfId="0" applyNumberFormat="1" applyFont="1" applyAlignment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/>
    <xf numFmtId="180" fontId="1" fillId="0" borderId="12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>
      <alignment horizontal="left"/>
    </xf>
    <xf numFmtId="180" fontId="1" fillId="0" borderId="0" xfId="0" applyNumberFormat="1" applyFont="1" applyFill="1" applyAlignment="1"/>
    <xf numFmtId="180" fontId="1" fillId="0" borderId="0" xfId="0" applyNumberFormat="1" applyFont="1" applyFill="1" applyBorder="1" applyAlignment="1"/>
    <xf numFmtId="180" fontId="1" fillId="0" borderId="2" xfId="0" applyNumberFormat="1" applyFont="1" applyFill="1" applyBorder="1" applyAlignment="1"/>
    <xf numFmtId="0" fontId="3" fillId="0" borderId="2" xfId="0" applyNumberFormat="1" applyFont="1" applyFill="1" applyBorder="1" applyAlignment="1">
      <alignment horizontal="right"/>
    </xf>
    <xf numFmtId="0" fontId="3" fillId="0" borderId="2" xfId="0" applyNumberFormat="1" applyFont="1" applyFill="1" applyBorder="1" applyAlignment="1"/>
    <xf numFmtId="0" fontId="3" fillId="0" borderId="2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>
      <alignment horizontal="center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NumberFormat="1" applyFont="1" applyFill="1" applyAlignment="1">
      <alignment horizontal="centerContinuous"/>
    </xf>
    <xf numFmtId="180" fontId="3" fillId="0" borderId="0" xfId="0" applyNumberFormat="1" applyFont="1" applyFill="1" applyAlignment="1">
      <alignment horizontal="right"/>
    </xf>
    <xf numFmtId="0" fontId="11" fillId="0" borderId="0" xfId="0" applyNumberFormat="1" applyFont="1" applyFill="1" applyAlignment="1"/>
    <xf numFmtId="0" fontId="3" fillId="0" borderId="0" xfId="0" applyFont="1" applyFill="1" applyBorder="1"/>
    <xf numFmtId="42" fontId="12" fillId="0" borderId="0" xfId="0" applyNumberFormat="1" applyFont="1" applyFill="1" applyBorder="1"/>
    <xf numFmtId="42" fontId="12" fillId="0" borderId="15" xfId="0" applyNumberFormat="1" applyFont="1" applyFill="1" applyBorder="1"/>
    <xf numFmtId="42" fontId="12" fillId="0" borderId="7" xfId="0" applyNumberFormat="1" applyFont="1" applyFill="1" applyBorder="1"/>
    <xf numFmtId="42" fontId="12" fillId="0" borderId="5" xfId="0" applyNumberFormat="1" applyFont="1" applyFill="1" applyBorder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wrapText="1"/>
    </xf>
    <xf numFmtId="0" fontId="14" fillId="0" borderId="8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168" fontId="12" fillId="0" borderId="10" xfId="0" applyNumberFormat="1" applyFont="1" applyFill="1" applyBorder="1"/>
    <xf numFmtId="0" fontId="12" fillId="0" borderId="4" xfId="0" applyFont="1" applyFill="1" applyBorder="1"/>
    <xf numFmtId="168" fontId="12" fillId="0" borderId="11" xfId="0" applyNumberFormat="1" applyFont="1" applyFill="1" applyBorder="1"/>
    <xf numFmtId="0" fontId="12" fillId="0" borderId="0" xfId="0" applyFont="1" applyFill="1"/>
    <xf numFmtId="168" fontId="12" fillId="0" borderId="0" xfId="0" applyNumberFormat="1" applyFont="1" applyFill="1"/>
    <xf numFmtId="0" fontId="14" fillId="0" borderId="0" xfId="0" applyFont="1" applyFill="1"/>
    <xf numFmtId="0" fontId="14" fillId="0" borderId="12" xfId="0" applyFont="1" applyFill="1" applyBorder="1"/>
    <xf numFmtId="0" fontId="14" fillId="0" borderId="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2" fillId="0" borderId="9" xfId="0" applyFont="1" applyFill="1" applyBorder="1"/>
    <xf numFmtId="170" fontId="12" fillId="0" borderId="9" xfId="0" applyNumberFormat="1" applyFont="1" applyFill="1" applyBorder="1"/>
    <xf numFmtId="170" fontId="12" fillId="0" borderId="10" xfId="0" applyNumberFormat="1" applyFont="1" applyFill="1" applyBorder="1"/>
    <xf numFmtId="170" fontId="12" fillId="0" borderId="11" xfId="0" applyNumberFormat="1" applyFont="1" applyFill="1" applyBorder="1"/>
    <xf numFmtId="170" fontId="12" fillId="0" borderId="0" xfId="0" applyNumberFormat="1" applyFont="1" applyFill="1" applyBorder="1"/>
    <xf numFmtId="0" fontId="14" fillId="0" borderId="1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12" fillId="0" borderId="12" xfId="0" applyFont="1" applyFill="1" applyBorder="1"/>
    <xf numFmtId="42" fontId="12" fillId="0" borderId="12" xfId="0" applyNumberFormat="1" applyFont="1" applyFill="1" applyBorder="1" applyAlignment="1">
      <alignment horizontal="center"/>
    </xf>
    <xf numFmtId="42" fontId="12" fillId="0" borderId="1" xfId="0" applyNumberFormat="1" applyFont="1" applyFill="1" applyBorder="1" applyAlignment="1">
      <alignment horizontal="center"/>
    </xf>
    <xf numFmtId="42" fontId="12" fillId="0" borderId="6" xfId="0" applyNumberFormat="1" applyFont="1" applyFill="1" applyBorder="1" applyAlignment="1">
      <alignment horizontal="center"/>
    </xf>
    <xf numFmtId="0" fontId="14" fillId="0" borderId="8" xfId="0" applyFont="1" applyFill="1" applyBorder="1"/>
    <xf numFmtId="0" fontId="14" fillId="0" borderId="1" xfId="0" applyFont="1" applyFill="1" applyBorder="1"/>
    <xf numFmtId="0" fontId="12" fillId="0" borderId="7" xfId="0" applyFont="1" applyFill="1" applyBorder="1"/>
    <xf numFmtId="166" fontId="1" fillId="0" borderId="10" xfId="0" applyNumberFormat="1" applyFont="1" applyFill="1" applyBorder="1"/>
    <xf numFmtId="166" fontId="1" fillId="0" borderId="0" xfId="0" applyNumberFormat="1" applyFont="1" applyFill="1" applyBorder="1"/>
    <xf numFmtId="166" fontId="1" fillId="0" borderId="7" xfId="0" applyNumberFormat="1" applyFont="1" applyFill="1" applyBorder="1"/>
    <xf numFmtId="166" fontId="12" fillId="0" borderId="10" xfId="0" applyNumberFormat="1" applyFont="1" applyFill="1" applyBorder="1"/>
    <xf numFmtId="166" fontId="12" fillId="0" borderId="0" xfId="0" applyNumberFormat="1" applyFont="1" applyFill="1" applyBorder="1"/>
    <xf numFmtId="166" fontId="12" fillId="0" borderId="7" xfId="0" applyNumberFormat="1" applyFont="1" applyFill="1" applyBorder="1"/>
    <xf numFmtId="0" fontId="12" fillId="0" borderId="1" xfId="0" applyFont="1" applyFill="1" applyBorder="1"/>
    <xf numFmtId="166" fontId="12" fillId="0" borderId="12" xfId="0" applyNumberFormat="1" applyFont="1" applyFill="1" applyBorder="1"/>
    <xf numFmtId="166" fontId="12" fillId="0" borderId="1" xfId="0" applyNumberFormat="1" applyFont="1" applyFill="1" applyBorder="1"/>
    <xf numFmtId="166" fontId="12" fillId="0" borderId="6" xfId="0" applyNumberFormat="1" applyFont="1" applyFill="1" applyBorder="1"/>
    <xf numFmtId="168" fontId="12" fillId="0" borderId="1" xfId="0" applyNumberFormat="1" applyFont="1" applyFill="1" applyBorder="1"/>
    <xf numFmtId="168" fontId="10" fillId="0" borderId="6" xfId="0" applyNumberFormat="1" applyFont="1" applyFill="1" applyBorder="1"/>
    <xf numFmtId="176" fontId="12" fillId="0" borderId="3" xfId="0" applyNumberFormat="1" applyFont="1" applyFill="1" applyBorder="1"/>
    <xf numFmtId="169" fontId="12" fillId="0" borderId="3" xfId="0" applyNumberFormat="1" applyFont="1" applyFill="1" applyBorder="1"/>
    <xf numFmtId="169" fontId="12" fillId="0" borderId="15" xfId="0" applyNumberFormat="1" applyFont="1" applyFill="1" applyBorder="1"/>
    <xf numFmtId="176" fontId="12" fillId="0" borderId="0" xfId="0" applyNumberFormat="1" applyFont="1" applyFill="1" applyBorder="1"/>
    <xf numFmtId="169" fontId="12" fillId="0" borderId="0" xfId="0" applyNumberFormat="1" applyFont="1" applyFill="1" applyBorder="1"/>
    <xf numFmtId="169" fontId="12" fillId="0" borderId="7" xfId="0" applyNumberFormat="1" applyFont="1" applyFill="1" applyBorder="1"/>
    <xf numFmtId="176" fontId="12" fillId="0" borderId="1" xfId="0" applyNumberFormat="1" applyFont="1" applyFill="1" applyBorder="1"/>
    <xf numFmtId="169" fontId="12" fillId="0" borderId="1" xfId="0" applyNumberFormat="1" applyFont="1" applyFill="1" applyBorder="1"/>
    <xf numFmtId="169" fontId="12" fillId="0" borderId="6" xfId="0" applyNumberFormat="1" applyFont="1" applyFill="1" applyBorder="1"/>
    <xf numFmtId="0" fontId="1" fillId="0" borderId="7" xfId="0" applyFont="1" applyFill="1" applyBorder="1"/>
    <xf numFmtId="0" fontId="1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2" fontId="1" fillId="0" borderId="0" xfId="0" applyNumberFormat="1" applyFont="1" applyFill="1"/>
    <xf numFmtId="3" fontId="9" fillId="0" borderId="0" xfId="0" applyNumberFormat="1" applyFont="1" applyFill="1"/>
    <xf numFmtId="173" fontId="10" fillId="0" borderId="0" xfId="0" applyNumberFormat="1" applyFont="1" applyFill="1"/>
    <xf numFmtId="44" fontId="1" fillId="0" borderId="0" xfId="0" applyNumberFormat="1" applyFont="1" applyFill="1"/>
    <xf numFmtId="42" fontId="15" fillId="0" borderId="0" xfId="0" applyNumberFormat="1" applyFont="1" applyFill="1" applyAlignment="1">
      <alignment horizontal="left"/>
    </xf>
    <xf numFmtId="169" fontId="1" fillId="0" borderId="0" xfId="0" applyNumberFormat="1" applyFont="1" applyFill="1"/>
    <xf numFmtId="173" fontId="1" fillId="0" borderId="0" xfId="0" applyNumberFormat="1" applyFont="1" applyFill="1"/>
    <xf numFmtId="0" fontId="1" fillId="0" borderId="0" xfId="0" applyFont="1" applyFill="1" applyAlignment="1"/>
    <xf numFmtId="167" fontId="6" fillId="0" borderId="0" xfId="0" applyNumberFormat="1" applyFont="1" applyFill="1" applyBorder="1"/>
    <xf numFmtId="174" fontId="1" fillId="0" borderId="0" xfId="0" applyNumberFormat="1" applyFont="1" applyFill="1"/>
    <xf numFmtId="171" fontId="1" fillId="0" borderId="0" xfId="0" applyNumberFormat="1" applyFont="1" applyFill="1"/>
    <xf numFmtId="0" fontId="1" fillId="0" borderId="0" xfId="0" applyFont="1" applyFill="1" applyAlignment="1">
      <alignment horizontal="left" textRotation="180"/>
    </xf>
    <xf numFmtId="0" fontId="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Continuous"/>
    </xf>
    <xf numFmtId="168" fontId="16" fillId="0" borderId="1" xfId="0" applyNumberFormat="1" applyFont="1" applyFill="1" applyBorder="1"/>
    <xf numFmtId="173" fontId="3" fillId="0" borderId="0" xfId="0" applyNumberFormat="1" applyFont="1" applyFill="1"/>
    <xf numFmtId="0" fontId="14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14" fillId="0" borderId="0" xfId="0" applyFont="1" applyFill="1" applyAlignment="1">
      <alignment horizontal="centerContinuous"/>
    </xf>
    <xf numFmtId="167" fontId="8" fillId="0" borderId="0" xfId="0" applyNumberFormat="1" applyFont="1" applyFill="1" applyAlignment="1"/>
    <xf numFmtId="9" fontId="8" fillId="0" borderId="0" xfId="0" applyNumberFormat="1" applyFont="1" applyFill="1" applyAlignment="1"/>
    <xf numFmtId="0" fontId="12" fillId="0" borderId="0" xfId="0" applyNumberFormat="1" applyFont="1" applyFill="1" applyAlignment="1"/>
    <xf numFmtId="0" fontId="8" fillId="0" borderId="0" xfId="0" applyFont="1" applyFill="1"/>
    <xf numFmtId="173" fontId="8" fillId="0" borderId="0" xfId="0" applyNumberFormat="1" applyFont="1" applyFill="1"/>
    <xf numFmtId="0" fontId="8" fillId="0" borderId="0" xfId="0" applyFont="1" applyFill="1" applyAlignment="1">
      <alignment horizontal="left"/>
    </xf>
    <xf numFmtId="166" fontId="8" fillId="0" borderId="0" xfId="0" applyNumberFormat="1" applyFont="1" applyFill="1"/>
    <xf numFmtId="0" fontId="18" fillId="0" borderId="0" xfId="0" applyFont="1" applyFill="1" applyAlignment="1">
      <alignment horizontal="right"/>
    </xf>
    <xf numFmtId="185" fontId="8" fillId="0" borderId="0" xfId="0" applyNumberFormat="1" applyFont="1" applyFill="1"/>
    <xf numFmtId="42" fontId="8" fillId="0" borderId="0" xfId="0" applyNumberFormat="1" applyFont="1" applyFill="1"/>
    <xf numFmtId="9" fontId="8" fillId="0" borderId="0" xfId="0" applyNumberFormat="1" applyFont="1" applyFill="1"/>
    <xf numFmtId="166" fontId="8" fillId="0" borderId="0" xfId="0" applyNumberFormat="1" applyFont="1" applyFill="1" applyBorder="1" applyAlignment="1">
      <alignment horizontal="left"/>
    </xf>
    <xf numFmtId="3" fontId="7" fillId="0" borderId="0" xfId="0" applyNumberFormat="1" applyFont="1" applyFill="1"/>
    <xf numFmtId="181" fontId="7" fillId="0" borderId="0" xfId="0" applyNumberFormat="1" applyFont="1" applyFill="1"/>
    <xf numFmtId="17" fontId="8" fillId="0" borderId="0" xfId="0" applyNumberFormat="1" applyFont="1" applyFill="1" applyBorder="1" applyAlignment="1">
      <alignment horizontal="center"/>
    </xf>
    <xf numFmtId="177" fontId="12" fillId="0" borderId="2" xfId="0" applyNumberFormat="1" applyFont="1" applyFill="1" applyBorder="1" applyAlignment="1">
      <alignment horizontal="center"/>
    </xf>
    <xf numFmtId="168" fontId="1" fillId="0" borderId="0" xfId="0" applyNumberFormat="1" applyFont="1" applyFill="1"/>
    <xf numFmtId="37" fontId="1" fillId="0" borderId="3" xfId="0" applyNumberFormat="1" applyFont="1" applyFill="1" applyBorder="1"/>
    <xf numFmtId="43" fontId="11" fillId="0" borderId="0" xfId="0" applyNumberFormat="1" applyFont="1" applyFill="1" applyBorder="1"/>
    <xf numFmtId="0" fontId="17" fillId="0" borderId="0" xfId="0" applyFont="1" applyFill="1" applyAlignment="1">
      <alignment horizontal="left"/>
    </xf>
    <xf numFmtId="180" fontId="8" fillId="0" borderId="0" xfId="0" applyNumberFormat="1" applyFont="1" applyFill="1" applyAlignment="1"/>
    <xf numFmtId="0" fontId="1" fillId="0" borderId="0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85" fontId="8" fillId="0" borderId="0" xfId="0" applyNumberFormat="1" applyFont="1" applyFill="1" applyBorder="1" applyAlignment="1">
      <alignment horizontal="left"/>
    </xf>
    <xf numFmtId="5" fontId="10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42" fontId="10" fillId="0" borderId="0" xfId="0" applyNumberFormat="1" applyFont="1" applyFill="1" applyBorder="1" applyAlignment="1">
      <alignment horizontal="left"/>
    </xf>
    <xf numFmtId="166" fontId="8" fillId="0" borderId="0" xfId="0" applyNumberFormat="1" applyFont="1" applyFill="1" applyBorder="1"/>
    <xf numFmtId="0" fontId="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42" fontId="12" fillId="0" borderId="0" xfId="0" applyNumberFormat="1" applyFont="1" applyBorder="1" applyAlignment="1">
      <alignment horizontal="center"/>
    </xf>
    <xf numFmtId="42" fontId="10" fillId="0" borderId="0" xfId="0" applyNumberFormat="1" applyFont="1"/>
    <xf numFmtId="169" fontId="12" fillId="0" borderId="0" xfId="0" applyNumberFormat="1" applyFont="1"/>
    <xf numFmtId="42" fontId="12" fillId="0" borderId="0" xfId="0" applyNumberFormat="1" applyFont="1"/>
    <xf numFmtId="42" fontId="1" fillId="0" borderId="0" xfId="0" applyNumberFormat="1" applyFont="1"/>
    <xf numFmtId="10" fontId="12" fillId="0" borderId="0" xfId="0" applyNumberFormat="1" applyFont="1"/>
    <xf numFmtId="42" fontId="8" fillId="0" borderId="0" xfId="0" applyNumberFormat="1" applyFont="1"/>
    <xf numFmtId="169" fontId="12" fillId="0" borderId="2" xfId="0" applyNumberFormat="1" applyFont="1" applyBorder="1"/>
    <xf numFmtId="3" fontId="12" fillId="0" borderId="3" xfId="0" applyNumberFormat="1" applyFont="1" applyBorder="1"/>
    <xf numFmtId="42" fontId="12" fillId="0" borderId="3" xfId="0" applyNumberFormat="1" applyFont="1" applyBorder="1"/>
    <xf numFmtId="42" fontId="1" fillId="0" borderId="3" xfId="0" applyNumberFormat="1" applyFont="1" applyBorder="1"/>
    <xf numFmtId="10" fontId="12" fillId="0" borderId="3" xfId="0" applyNumberFormat="1" applyFont="1" applyBorder="1"/>
    <xf numFmtId="3" fontId="12" fillId="0" borderId="0" xfId="0" applyNumberFormat="1" applyFont="1"/>
    <xf numFmtId="0" fontId="20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3" fontId="1" fillId="0" borderId="0" xfId="0" applyNumberFormat="1" applyFont="1" applyBorder="1"/>
    <xf numFmtId="42" fontId="1" fillId="0" borderId="0" xfId="0" applyNumberFormat="1" applyFont="1" applyBorder="1"/>
    <xf numFmtId="0" fontId="1" fillId="0" borderId="0" xfId="0" applyFont="1"/>
    <xf numFmtId="10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8" fontId="1" fillId="0" borderId="0" xfId="0" applyNumberFormat="1" applyFont="1" applyFill="1"/>
    <xf numFmtId="166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168" fontId="1" fillId="0" borderId="3" xfId="0" applyNumberFormat="1" applyFont="1" applyFill="1" applyBorder="1"/>
    <xf numFmtId="166" fontId="1" fillId="0" borderId="3" xfId="0" applyNumberFormat="1" applyFont="1" applyFill="1" applyBorder="1"/>
    <xf numFmtId="169" fontId="12" fillId="0" borderId="3" xfId="0" applyNumberFormat="1" applyFont="1" applyBorder="1"/>
    <xf numFmtId="0" fontId="1" fillId="0" borderId="0" xfId="0" applyFont="1" applyFill="1"/>
    <xf numFmtId="0" fontId="1" fillId="0" borderId="0" xfId="0" applyFont="1" applyBorder="1"/>
    <xf numFmtId="44" fontId="1" fillId="0" borderId="0" xfId="0" applyNumberFormat="1" applyFont="1"/>
    <xf numFmtId="0" fontId="11" fillId="0" borderId="0" xfId="0" applyFont="1"/>
    <xf numFmtId="168" fontId="11" fillId="0" borderId="0" xfId="0" applyNumberFormat="1" applyFont="1"/>
    <xf numFmtId="0" fontId="1" fillId="0" borderId="0" xfId="0" applyFont="1" applyFill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2" fillId="0" borderId="0" xfId="0" applyFont="1"/>
    <xf numFmtId="175" fontId="1" fillId="0" borderId="0" xfId="0" applyNumberFormat="1" applyFont="1"/>
    <xf numFmtId="0" fontId="22" fillId="0" borderId="0" xfId="0" applyFont="1" applyBorder="1"/>
    <xf numFmtId="44" fontId="22" fillId="0" borderId="0" xfId="0" applyNumberFormat="1" applyFont="1" applyBorder="1"/>
    <xf numFmtId="44" fontId="1" fillId="0" borderId="3" xfId="0" applyNumberFormat="1" applyFont="1" applyFill="1" applyBorder="1"/>
    <xf numFmtId="44" fontId="1" fillId="0" borderId="3" xfId="0" applyNumberFormat="1" applyFont="1" applyBorder="1"/>
    <xf numFmtId="44" fontId="1" fillId="0" borderId="0" xfId="0" applyNumberFormat="1" applyFont="1" applyFill="1" applyBorder="1"/>
    <xf numFmtId="44" fontId="1" fillId="0" borderId="0" xfId="0" applyNumberFormat="1" applyFont="1" applyBorder="1"/>
    <xf numFmtId="44" fontId="12" fillId="0" borderId="0" xfId="0" applyNumberFormat="1" applyFont="1"/>
    <xf numFmtId="173" fontId="10" fillId="0" borderId="0" xfId="0" applyNumberFormat="1" applyFont="1" applyFill="1"/>
    <xf numFmtId="173" fontId="22" fillId="0" borderId="0" xfId="0" applyNumberFormat="1" applyFont="1" applyBorder="1"/>
    <xf numFmtId="173" fontId="1" fillId="0" borderId="0" xfId="0" applyNumberFormat="1" applyFont="1"/>
    <xf numFmtId="173" fontId="12" fillId="0" borderId="0" xfId="0" applyNumberFormat="1" applyFont="1" applyFill="1"/>
    <xf numFmtId="173" fontId="12" fillId="0" borderId="0" xfId="0" applyNumberFormat="1" applyFont="1"/>
    <xf numFmtId="173" fontId="1" fillId="0" borderId="3" xfId="0" applyNumberFormat="1" applyFont="1" applyFill="1" applyBorder="1"/>
    <xf numFmtId="173" fontId="1" fillId="0" borderId="3" xfId="0" applyNumberFormat="1" applyFont="1" applyBorder="1"/>
    <xf numFmtId="173" fontId="1" fillId="0" borderId="0" xfId="0" applyNumberFormat="1" applyFont="1" applyFill="1"/>
    <xf numFmtId="173" fontId="10" fillId="0" borderId="0" xfId="0" applyNumberFormat="1" applyFont="1"/>
    <xf numFmtId="175" fontId="1" fillId="0" borderId="3" xfId="0" applyNumberFormat="1" applyFont="1" applyBorder="1"/>
    <xf numFmtId="173" fontId="1" fillId="0" borderId="0" xfId="0" applyNumberFormat="1" applyFont="1" applyBorder="1"/>
    <xf numFmtId="170" fontId="1" fillId="0" borderId="0" xfId="0" applyNumberFormat="1" applyFont="1"/>
    <xf numFmtId="170" fontId="1" fillId="0" borderId="0" xfId="0" applyNumberFormat="1" applyFont="1" applyBorder="1"/>
    <xf numFmtId="0" fontId="1" fillId="0" borderId="0" xfId="0" applyFont="1" applyFill="1" applyAlignment="1"/>
    <xf numFmtId="0" fontId="1" fillId="0" borderId="0" xfId="0" applyFont="1" applyAlignment="1"/>
    <xf numFmtId="0" fontId="1" fillId="0" borderId="2" xfId="0" applyFont="1" applyBorder="1"/>
    <xf numFmtId="0" fontId="10" fillId="0" borderId="2" xfId="0" applyFont="1" applyFill="1" applyBorder="1" applyAlignment="1">
      <alignment horizontal="center"/>
    </xf>
    <xf numFmtId="0" fontId="3" fillId="0" borderId="0" xfId="0" applyFont="1" applyBorder="1" applyProtection="1">
      <protection locked="0"/>
    </xf>
    <xf numFmtId="169" fontId="8" fillId="0" borderId="0" xfId="0" applyNumberFormat="1" applyFont="1"/>
    <xf numFmtId="169" fontId="10" fillId="0" borderId="0" xfId="0" applyNumberFormat="1" applyFont="1" applyFill="1"/>
    <xf numFmtId="170" fontId="12" fillId="0" borderId="0" xfId="0" applyNumberFormat="1" applyFont="1"/>
    <xf numFmtId="0" fontId="1" fillId="0" borderId="0" xfId="0" applyFont="1" applyBorder="1" applyProtection="1">
      <protection locked="0"/>
    </xf>
    <xf numFmtId="169" fontId="10" fillId="0" borderId="0" xfId="0" applyNumberFormat="1" applyFont="1"/>
    <xf numFmtId="0" fontId="3" fillId="0" borderId="0" xfId="0" applyFont="1" applyFill="1" applyBorder="1" applyProtection="1">
      <protection locked="0"/>
    </xf>
    <xf numFmtId="3" fontId="1" fillId="0" borderId="0" xfId="0" applyNumberFormat="1" applyFont="1" applyFill="1" applyBorder="1" applyAlignment="1" applyProtection="1">
      <alignment horizontal="left"/>
      <protection locked="0"/>
    </xf>
    <xf numFmtId="0" fontId="10" fillId="0" borderId="0" xfId="0" applyFont="1"/>
    <xf numFmtId="169" fontId="8" fillId="0" borderId="0" xfId="0" applyNumberFormat="1" applyFont="1" applyFill="1"/>
    <xf numFmtId="0" fontId="1" fillId="0" borderId="0" xfId="0" applyFont="1" applyFill="1" applyBorder="1"/>
    <xf numFmtId="44" fontId="8" fillId="0" borderId="0" xfId="0" applyNumberFormat="1" applyFont="1"/>
    <xf numFmtId="44" fontId="10" fillId="0" borderId="0" xfId="0" applyNumberFormat="1" applyFont="1"/>
    <xf numFmtId="170" fontId="12" fillId="0" borderId="3" xfId="0" applyNumberFormat="1" applyFont="1" applyBorder="1"/>
    <xf numFmtId="170" fontId="12" fillId="0" borderId="0" xfId="0" applyNumberFormat="1" applyFont="1" applyBorder="1"/>
    <xf numFmtId="37" fontId="1" fillId="0" borderId="0" xfId="0" applyNumberFormat="1" applyFont="1"/>
    <xf numFmtId="37" fontId="1" fillId="0" borderId="0" xfId="0" applyNumberFormat="1" applyFont="1" applyFill="1"/>
    <xf numFmtId="0" fontId="10" fillId="0" borderId="0" xfId="0" applyFont="1" applyFill="1"/>
    <xf numFmtId="42" fontId="12" fillId="0" borderId="0" xfId="0" applyNumberFormat="1" applyFont="1" applyBorder="1"/>
    <xf numFmtId="0" fontId="12" fillId="0" borderId="0" xfId="0" applyFont="1" applyBorder="1"/>
    <xf numFmtId="0" fontId="14" fillId="0" borderId="0" xfId="0" applyFont="1"/>
    <xf numFmtId="166" fontId="12" fillId="0" borderId="0" xfId="0" applyNumberFormat="1" applyFont="1"/>
    <xf numFmtId="0" fontId="11" fillId="0" borderId="0" xfId="0" applyFont="1" applyFill="1"/>
    <xf numFmtId="0" fontId="11" fillId="0" borderId="0" xfId="0" applyFont="1"/>
    <xf numFmtId="0" fontId="12" fillId="0" borderId="0" xfId="0" applyFont="1"/>
    <xf numFmtId="0" fontId="12" fillId="0" borderId="0" xfId="0" applyFont="1" applyFill="1"/>
    <xf numFmtId="166" fontId="12" fillId="0" borderId="0" xfId="0" applyNumberFormat="1" applyFont="1" applyFill="1"/>
    <xf numFmtId="166" fontId="12" fillId="0" borderId="3" xfId="0" applyNumberFormat="1" applyFont="1" applyBorder="1"/>
    <xf numFmtId="166" fontId="12" fillId="0" borderId="0" xfId="0" applyNumberFormat="1" applyFont="1"/>
    <xf numFmtId="10" fontId="12" fillId="2" borderId="40" xfId="0" applyNumberFormat="1" applyFont="1" applyFill="1" applyBorder="1"/>
    <xf numFmtId="0" fontId="12" fillId="0" borderId="0" xfId="0" applyFont="1"/>
    <xf numFmtId="0" fontId="1" fillId="4" borderId="16" xfId="0" applyFont="1" applyFill="1" applyBorder="1" applyAlignment="1">
      <alignment horizontal="center"/>
    </xf>
    <xf numFmtId="0" fontId="1" fillId="4" borderId="3" xfId="0" applyFont="1" applyFill="1" applyBorder="1"/>
    <xf numFmtId="0" fontId="12" fillId="0" borderId="0" xfId="0" applyFont="1" applyFill="1" applyBorder="1" applyAlignment="1">
      <alignment horizontal="right"/>
    </xf>
    <xf numFmtId="0" fontId="23" fillId="4" borderId="15" xfId="0" applyFont="1" applyFill="1" applyBorder="1" applyAlignment="1">
      <alignment horizontal="center"/>
    </xf>
    <xf numFmtId="0" fontId="12" fillId="4" borderId="16" xfId="0" applyFont="1" applyFill="1" applyBorder="1"/>
    <xf numFmtId="0" fontId="12" fillId="4" borderId="3" xfId="0" applyFont="1" applyFill="1" applyBorder="1"/>
    <xf numFmtId="0" fontId="12" fillId="4" borderId="15" xfId="0" quotePrefix="1" applyFont="1" applyFill="1" applyBorder="1" applyAlignment="1">
      <alignment horizontal="right"/>
    </xf>
    <xf numFmtId="0" fontId="3" fillId="3" borderId="17" xfId="0" applyFont="1" applyFill="1" applyBorder="1" applyAlignment="1">
      <alignment horizontal="centerContinuous"/>
    </xf>
    <xf numFmtId="0" fontId="3" fillId="3" borderId="18" xfId="0" applyFont="1" applyFill="1" applyBorder="1" applyAlignment="1">
      <alignment horizontal="centerContinuous"/>
    </xf>
    <xf numFmtId="0" fontId="3" fillId="3" borderId="19" xfId="0" applyFont="1" applyFill="1" applyBorder="1" applyAlignment="1">
      <alignment horizontal="centerContinuous"/>
    </xf>
    <xf numFmtId="0" fontId="1" fillId="4" borderId="14" xfId="0" applyFont="1" applyFill="1" applyBorder="1" applyAlignment="1">
      <alignment horizontal="center"/>
    </xf>
    <xf numFmtId="0" fontId="1" fillId="4" borderId="0" xfId="0" applyFont="1" applyFill="1" applyBorder="1"/>
    <xf numFmtId="169" fontId="1" fillId="4" borderId="0" xfId="0" applyNumberFormat="1" applyFont="1" applyFill="1" applyBorder="1"/>
    <xf numFmtId="0" fontId="1" fillId="4" borderId="0" xfId="0" applyFont="1" applyFill="1" applyBorder="1" applyAlignment="1">
      <alignment horizontal="right"/>
    </xf>
    <xf numFmtId="0" fontId="12" fillId="4" borderId="14" xfId="0" applyFont="1" applyFill="1" applyBorder="1"/>
    <xf numFmtId="0" fontId="12" fillId="4" borderId="0" xfId="0" applyFont="1" applyFill="1" applyBorder="1"/>
    <xf numFmtId="0" fontId="12" fillId="4" borderId="7" xfId="0" applyFont="1" applyFill="1" applyBorder="1"/>
    <xf numFmtId="0" fontId="23" fillId="4" borderId="14" xfId="0" applyFont="1" applyFill="1" applyBorder="1" applyAlignment="1">
      <alignment horizontal="center"/>
    </xf>
    <xf numFmtId="0" fontId="23" fillId="4" borderId="0" xfId="0" applyFont="1" applyFill="1" applyBorder="1"/>
    <xf numFmtId="37" fontId="23" fillId="4" borderId="0" xfId="0" applyNumberFormat="1" applyFont="1" applyFill="1" applyBorder="1"/>
    <xf numFmtId="169" fontId="23" fillId="4" borderId="0" xfId="0" applyNumberFormat="1" applyFont="1" applyFill="1" applyBorder="1"/>
    <xf numFmtId="164" fontId="23" fillId="4" borderId="0" xfId="0" applyNumberFormat="1" applyFont="1" applyFill="1" applyBorder="1" applyAlignment="1">
      <alignment horizontal="right"/>
    </xf>
    <xf numFmtId="0" fontId="23" fillId="4" borderId="7" xfId="0" applyFont="1" applyFill="1" applyBorder="1"/>
    <xf numFmtId="0" fontId="1" fillId="4" borderId="0" xfId="0" applyFont="1" applyFill="1" applyBorder="1" applyAlignment="1">
      <alignment horizontal="center"/>
    </xf>
    <xf numFmtId="169" fontId="1" fillId="4" borderId="0" xfId="0" applyNumberFormat="1" applyFont="1" applyFill="1" applyBorder="1" applyAlignment="1">
      <alignment horizontal="center"/>
    </xf>
    <xf numFmtId="44" fontId="1" fillId="4" borderId="0" xfId="0" applyNumberFormat="1" applyFont="1" applyFill="1" applyBorder="1" applyAlignment="1">
      <alignment horizontal="center"/>
    </xf>
    <xf numFmtId="44" fontId="1" fillId="4" borderId="7" xfId="0" applyNumberFormat="1" applyFont="1" applyFill="1" applyBorder="1" applyAlignment="1">
      <alignment horizontal="center"/>
    </xf>
    <xf numFmtId="182" fontId="3" fillId="4" borderId="4" xfId="0" applyNumberFormat="1" applyFont="1" applyFill="1" applyBorder="1" applyAlignment="1">
      <alignment horizontal="center"/>
    </xf>
    <xf numFmtId="182" fontId="3" fillId="4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169" fontId="3" fillId="4" borderId="2" xfId="0" applyNumberFormat="1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14" fillId="0" borderId="0" xfId="0" applyFont="1"/>
    <xf numFmtId="182" fontId="3" fillId="4" borderId="14" xfId="0" applyNumberFormat="1" applyFont="1" applyFill="1" applyBorder="1" applyAlignment="1">
      <alignment horizontal="center"/>
    </xf>
    <xf numFmtId="182" fontId="3" fillId="4" borderId="0" xfId="0" applyNumberFormat="1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10" fontId="14" fillId="4" borderId="7" xfId="0" applyNumberFormat="1" applyFont="1" applyFill="1" applyBorder="1" applyAlignment="1">
      <alignment horizontal="center"/>
    </xf>
    <xf numFmtId="0" fontId="12" fillId="0" borderId="0" xfId="0" applyFont="1" applyFill="1"/>
    <xf numFmtId="0" fontId="1" fillId="4" borderId="0" xfId="0" quotePrefix="1" applyFont="1" applyFill="1" applyBorder="1" applyAlignment="1">
      <alignment horizontal="center"/>
    </xf>
    <xf numFmtId="44" fontId="1" fillId="4" borderId="15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" fillId="4" borderId="3" xfId="0" quotePrefix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3" fillId="4" borderId="0" xfId="0" applyFont="1" applyFill="1" applyBorder="1"/>
    <xf numFmtId="171" fontId="1" fillId="4" borderId="0" xfId="0" applyNumberFormat="1" applyFont="1" applyFill="1" applyBorder="1" applyAlignment="1">
      <alignment horizontal="right"/>
    </xf>
    <xf numFmtId="5" fontId="1" fillId="4" borderId="7" xfId="0" applyNumberFormat="1" applyFont="1" applyFill="1" applyBorder="1"/>
    <xf numFmtId="10" fontId="12" fillId="4" borderId="7" xfId="0" applyNumberFormat="1" applyFont="1" applyFill="1" applyBorder="1"/>
    <xf numFmtId="0" fontId="12" fillId="0" borderId="0" xfId="0" applyFont="1" applyBorder="1"/>
    <xf numFmtId="0" fontId="16" fillId="0" borderId="0" xfId="0" applyFont="1"/>
    <xf numFmtId="0" fontId="11" fillId="0" borderId="0" xfId="0" applyFont="1" applyFill="1"/>
    <xf numFmtId="0" fontId="1" fillId="4" borderId="0" xfId="0" applyFont="1" applyFill="1" applyBorder="1"/>
    <xf numFmtId="37" fontId="1" fillId="4" borderId="0" xfId="0" applyNumberFormat="1" applyFont="1" applyFill="1" applyBorder="1" applyAlignment="1">
      <alignment horizontal="right"/>
    </xf>
    <xf numFmtId="5" fontId="1" fillId="4" borderId="0" xfId="0" applyNumberFormat="1" applyFont="1" applyFill="1" applyBorder="1" applyAlignment="1">
      <alignment horizontal="right"/>
    </xf>
    <xf numFmtId="5" fontId="11" fillId="4" borderId="7" xfId="0" applyNumberFormat="1" applyFont="1" applyFill="1" applyBorder="1"/>
    <xf numFmtId="0" fontId="11" fillId="0" borderId="0" xfId="0" applyFont="1"/>
    <xf numFmtId="0" fontId="12" fillId="2" borderId="34" xfId="0" applyFont="1" applyFill="1" applyBorder="1"/>
    <xf numFmtId="0" fontId="12" fillId="2" borderId="33" xfId="0" applyFont="1" applyFill="1" applyBorder="1"/>
    <xf numFmtId="37" fontId="1" fillId="2" borderId="33" xfId="0" applyNumberFormat="1" applyFont="1" applyFill="1" applyBorder="1" applyAlignment="1">
      <alignment horizontal="right"/>
    </xf>
    <xf numFmtId="0" fontId="1" fillId="2" borderId="33" xfId="0" applyFont="1" applyFill="1" applyBorder="1"/>
    <xf numFmtId="0" fontId="24" fillId="4" borderId="0" xfId="0" applyFont="1" applyFill="1" applyBorder="1" applyAlignment="1">
      <alignment horizontal="left" indent="2"/>
    </xf>
    <xf numFmtId="171" fontId="3" fillId="4" borderId="0" xfId="0" applyNumberFormat="1" applyFont="1" applyFill="1" applyBorder="1" applyAlignment="1">
      <alignment horizontal="right"/>
    </xf>
    <xf numFmtId="5" fontId="3" fillId="4" borderId="0" xfId="0" applyNumberFormat="1" applyFont="1" applyFill="1" applyBorder="1" applyAlignment="1">
      <alignment horizontal="right"/>
    </xf>
    <xf numFmtId="0" fontId="1" fillId="4" borderId="0" xfId="0" applyFont="1" applyFill="1" applyBorder="1" applyAlignment="1">
      <alignment horizontal="left" indent="2"/>
    </xf>
    <xf numFmtId="37" fontId="1" fillId="4" borderId="0" xfId="0" applyNumberFormat="1" applyFont="1" applyFill="1" applyBorder="1" applyAlignment="1">
      <alignment horizontal="right"/>
    </xf>
    <xf numFmtId="0" fontId="24" fillId="4" borderId="0" xfId="0" applyFont="1" applyFill="1" applyBorder="1"/>
    <xf numFmtId="0" fontId="1" fillId="0" borderId="0" xfId="0" applyFont="1" applyFill="1"/>
    <xf numFmtId="0" fontId="1" fillId="2" borderId="20" xfId="0" applyFont="1" applyFill="1" applyBorder="1"/>
    <xf numFmtId="0" fontId="1" fillId="0" borderId="0" xfId="0" applyFont="1"/>
    <xf numFmtId="5" fontId="3" fillId="2" borderId="22" xfId="0" applyNumberFormat="1" applyFont="1" applyFill="1" applyBorder="1" applyAlignment="1">
      <alignment horizontal="right"/>
    </xf>
    <xf numFmtId="7" fontId="1" fillId="4" borderId="0" xfId="0" applyNumberFormat="1" applyFont="1" applyFill="1" applyBorder="1"/>
    <xf numFmtId="0" fontId="12" fillId="4" borderId="0" xfId="0" applyFont="1" applyFill="1" applyBorder="1"/>
    <xf numFmtId="0" fontId="12" fillId="4" borderId="0" xfId="0" applyFont="1" applyFill="1" applyBorder="1"/>
    <xf numFmtId="0" fontId="1" fillId="2" borderId="30" xfId="0" applyFont="1" applyFill="1" applyBorder="1"/>
    <xf numFmtId="5" fontId="3" fillId="4" borderId="7" xfId="0" applyNumberFormat="1" applyFont="1" applyFill="1" applyBorder="1" applyAlignment="1">
      <alignment horizontal="right"/>
    </xf>
    <xf numFmtId="0" fontId="24" fillId="4" borderId="0" xfId="0" applyFont="1" applyFill="1" applyBorder="1" applyAlignment="1">
      <alignment horizontal="left" indent="1"/>
    </xf>
    <xf numFmtId="37" fontId="3" fillId="4" borderId="0" xfId="0" applyNumberFormat="1" applyFont="1" applyFill="1" applyBorder="1" applyAlignment="1">
      <alignment horizontal="right"/>
    </xf>
    <xf numFmtId="3" fontId="12" fillId="0" borderId="0" xfId="0" applyNumberFormat="1" applyFont="1"/>
    <xf numFmtId="5" fontId="1" fillId="4" borderId="27" xfId="0" applyNumberFormat="1" applyFont="1" applyFill="1" applyBorder="1"/>
    <xf numFmtId="0" fontId="1" fillId="0" borderId="0" xfId="0" applyFont="1" applyFill="1" applyBorder="1"/>
    <xf numFmtId="5" fontId="1" fillId="2" borderId="25" xfId="0" applyNumberFormat="1" applyFont="1" applyFill="1" applyBorder="1" applyAlignment="1">
      <alignment horizontal="right"/>
    </xf>
    <xf numFmtId="171" fontId="1" fillId="4" borderId="0" xfId="0" applyNumberFormat="1" applyFont="1" applyFill="1" applyBorder="1" applyAlignment="1">
      <alignment horizontal="right"/>
    </xf>
    <xf numFmtId="5" fontId="1" fillId="4" borderId="38" xfId="0" applyNumberFormat="1" applyFont="1" applyFill="1" applyBorder="1" applyAlignment="1">
      <alignment horizontal="right"/>
    </xf>
    <xf numFmtId="5" fontId="3" fillId="2" borderId="22" xfId="0" applyNumberFormat="1" applyFont="1" applyFill="1" applyBorder="1"/>
    <xf numFmtId="5" fontId="1" fillId="2" borderId="33" xfId="0" applyNumberFormat="1" applyFont="1" applyFill="1" applyBorder="1" applyAlignment="1">
      <alignment horizontal="right"/>
    </xf>
    <xf numFmtId="5" fontId="1" fillId="2" borderId="30" xfId="0" applyNumberFormat="1" applyFont="1" applyFill="1" applyBorder="1" applyAlignment="1">
      <alignment horizontal="right"/>
    </xf>
    <xf numFmtId="5" fontId="3" fillId="4" borderId="7" xfId="0" applyNumberFormat="1" applyFont="1" applyFill="1" applyBorder="1"/>
    <xf numFmtId="0" fontId="1" fillId="2" borderId="25" xfId="0" applyFont="1" applyFill="1" applyBorder="1"/>
    <xf numFmtId="5" fontId="1" fillId="2" borderId="36" xfId="0" applyNumberFormat="1" applyFont="1" applyFill="1" applyBorder="1"/>
    <xf numFmtId="0" fontId="12" fillId="0" borderId="0" xfId="0" applyFont="1" applyFill="1" applyBorder="1"/>
    <xf numFmtId="0" fontId="16" fillId="4" borderId="0" xfId="0" applyFont="1" applyFill="1"/>
    <xf numFmtId="171" fontId="3" fillId="4" borderId="0" xfId="0" applyNumberFormat="1" applyFont="1" applyFill="1" applyBorder="1" applyAlignment="1">
      <alignment horizontal="right"/>
    </xf>
    <xf numFmtId="0" fontId="12" fillId="0" borderId="7" xfId="0" applyFont="1" applyBorder="1"/>
    <xf numFmtId="5" fontId="3" fillId="0" borderId="2" xfId="0" applyNumberFormat="1" applyFont="1" applyFill="1" applyBorder="1" applyAlignment="1">
      <alignment horizontal="right"/>
    </xf>
    <xf numFmtId="37" fontId="1" fillId="4" borderId="0" xfId="0" applyNumberFormat="1" applyFont="1" applyFill="1" applyBorder="1" applyAlignment="1">
      <alignment horizontal="right"/>
    </xf>
    <xf numFmtId="5" fontId="3" fillId="4" borderId="15" xfId="0" applyNumberFormat="1" applyFont="1" applyFill="1" applyBorder="1"/>
    <xf numFmtId="0" fontId="1" fillId="4" borderId="0" xfId="0" applyFont="1" applyFill="1" applyBorder="1"/>
    <xf numFmtId="0" fontId="1" fillId="4" borderId="7" xfId="0" applyFont="1" applyFill="1" applyBorder="1"/>
    <xf numFmtId="5" fontId="12" fillId="0" borderId="0" xfId="0" applyNumberFormat="1" applyFont="1"/>
    <xf numFmtId="170" fontId="3" fillId="4" borderId="0" xfId="0" applyNumberFormat="1" applyFont="1" applyFill="1" applyBorder="1"/>
    <xf numFmtId="3" fontId="1" fillId="4" borderId="0" xfId="0" applyNumberFormat="1" applyFont="1" applyFill="1" applyBorder="1" applyAlignment="1">
      <alignment horizontal="right"/>
    </xf>
    <xf numFmtId="0" fontId="1" fillId="4" borderId="7" xfId="0" applyFont="1" applyFill="1" applyBorder="1" applyAlignment="1">
      <alignment horizontal="center"/>
    </xf>
    <xf numFmtId="43" fontId="12" fillId="4" borderId="0" xfId="0" applyNumberFormat="1" applyFont="1" applyFill="1" applyBorder="1"/>
    <xf numFmtId="165" fontId="3" fillId="4" borderId="0" xfId="0" applyNumberFormat="1" applyFont="1" applyFill="1" applyBorder="1" applyAlignment="1">
      <alignment horizontal="right"/>
    </xf>
    <xf numFmtId="0" fontId="3" fillId="4" borderId="7" xfId="0" applyFont="1" applyFill="1" applyBorder="1" applyAlignment="1">
      <alignment horizontal="center"/>
    </xf>
    <xf numFmtId="0" fontId="1" fillId="4" borderId="2" xfId="0" applyFont="1" applyFill="1" applyBorder="1"/>
    <xf numFmtId="171" fontId="1" fillId="4" borderId="2" xfId="0" applyNumberFormat="1" applyFont="1" applyFill="1" applyBorder="1" applyAlignment="1">
      <alignment horizontal="right"/>
    </xf>
    <xf numFmtId="0" fontId="1" fillId="4" borderId="5" xfId="0" applyFont="1" applyFill="1" applyBorder="1"/>
    <xf numFmtId="0" fontId="12" fillId="0" borderId="0" xfId="0" applyFont="1" applyFill="1" applyBorder="1"/>
    <xf numFmtId="37" fontId="12" fillId="0" borderId="0" xfId="0" applyNumberFormat="1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/>
    <xf numFmtId="37" fontId="3" fillId="0" borderId="0" xfId="0" applyNumberFormat="1" applyFont="1" applyFill="1" applyBorder="1" applyAlignment="1">
      <alignment horizontal="right"/>
    </xf>
    <xf numFmtId="0" fontId="3" fillId="3" borderId="0" xfId="0" applyFont="1" applyFill="1"/>
    <xf numFmtId="0" fontId="12" fillId="3" borderId="0" xfId="0" applyFont="1" applyFill="1"/>
    <xf numFmtId="37" fontId="8" fillId="4" borderId="0" xfId="0" applyNumberFormat="1" applyFont="1" applyFill="1" applyBorder="1" applyAlignment="1">
      <alignment horizontal="right"/>
    </xf>
    <xf numFmtId="37" fontId="8" fillId="2" borderId="33" xfId="0" applyNumberFormat="1" applyFont="1" applyFill="1" applyBorder="1" applyAlignment="1">
      <alignment horizontal="right"/>
    </xf>
    <xf numFmtId="37" fontId="8" fillId="4" borderId="0" xfId="0" applyNumberFormat="1" applyFont="1" applyFill="1" applyBorder="1"/>
    <xf numFmtId="0" fontId="8" fillId="4" borderId="0" xfId="0" applyFont="1" applyFill="1" applyBorder="1"/>
    <xf numFmtId="37" fontId="8" fillId="4" borderId="0" xfId="0" applyNumberFormat="1" applyFont="1" applyFill="1" applyBorder="1" applyAlignment="1">
      <alignment horizontal="right"/>
    </xf>
    <xf numFmtId="172" fontId="8" fillId="4" borderId="0" xfId="0" applyNumberFormat="1" applyFont="1" applyFill="1" applyBorder="1" applyAlignment="1">
      <alignment horizontal="right"/>
    </xf>
    <xf numFmtId="37" fontId="13" fillId="4" borderId="0" xfId="0" applyNumberFormat="1" applyFont="1" applyFill="1" applyBorder="1" applyAlignment="1">
      <alignment horizontal="right"/>
    </xf>
    <xf numFmtId="37" fontId="8" fillId="4" borderId="0" xfId="0" applyNumberFormat="1" applyFont="1" applyFill="1" applyBorder="1" applyAlignment="1">
      <alignment horizontal="right"/>
    </xf>
    <xf numFmtId="37" fontId="8" fillId="2" borderId="21" xfId="0" applyNumberFormat="1" applyFont="1" applyFill="1" applyBorder="1" applyAlignment="1">
      <alignment horizontal="right"/>
    </xf>
    <xf numFmtId="37" fontId="8" fillId="2" borderId="34" xfId="0" applyNumberFormat="1" applyFont="1" applyFill="1" applyBorder="1" applyAlignment="1">
      <alignment horizontal="right"/>
    </xf>
    <xf numFmtId="37" fontId="8" fillId="2" borderId="31" xfId="0" applyNumberFormat="1" applyFont="1" applyFill="1" applyBorder="1" applyAlignment="1">
      <alignment horizontal="right"/>
    </xf>
    <xf numFmtId="37" fontId="25" fillId="4" borderId="0" xfId="0" applyNumberFormat="1" applyFont="1" applyFill="1" applyBorder="1"/>
    <xf numFmtId="37" fontId="8" fillId="2" borderId="26" xfId="0" applyNumberFormat="1" applyFont="1" applyFill="1" applyBorder="1" applyAlignment="1">
      <alignment horizontal="right"/>
    </xf>
    <xf numFmtId="171" fontId="8" fillId="4" borderId="0" xfId="0" applyNumberFormat="1" applyFont="1" applyFill="1" applyBorder="1" applyAlignment="1">
      <alignment horizontal="right"/>
    </xf>
    <xf numFmtId="171" fontId="8" fillId="2" borderId="33" xfId="0" applyNumberFormat="1" applyFont="1" applyFill="1" applyBorder="1" applyAlignment="1">
      <alignment horizontal="right"/>
    </xf>
    <xf numFmtId="171" fontId="13" fillId="4" borderId="0" xfId="0" applyNumberFormat="1" applyFont="1" applyFill="1" applyBorder="1" applyAlignment="1">
      <alignment horizontal="right"/>
    </xf>
    <xf numFmtId="0" fontId="8" fillId="4" borderId="0" xfId="0" applyFont="1" applyFill="1" applyBorder="1"/>
    <xf numFmtId="171" fontId="8" fillId="2" borderId="20" xfId="0" applyNumberFormat="1" applyFont="1" applyFill="1" applyBorder="1" applyAlignment="1">
      <alignment horizontal="right"/>
    </xf>
    <xf numFmtId="171" fontId="8" fillId="2" borderId="30" xfId="0" applyNumberFormat="1" applyFont="1" applyFill="1" applyBorder="1" applyAlignment="1">
      <alignment horizontal="right"/>
    </xf>
    <xf numFmtId="171" fontId="8" fillId="4" borderId="38" xfId="0" applyNumberFormat="1" applyFont="1" applyFill="1" applyBorder="1" applyAlignment="1">
      <alignment horizontal="right"/>
    </xf>
    <xf numFmtId="171" fontId="8" fillId="2" borderId="26" xfId="0" applyNumberFormat="1" applyFont="1" applyFill="1" applyBorder="1" applyAlignment="1">
      <alignment horizontal="right"/>
    </xf>
    <xf numFmtId="171" fontId="8" fillId="4" borderId="0" xfId="0" applyNumberFormat="1" applyFont="1" applyFill="1" applyBorder="1" applyAlignment="1">
      <alignment horizontal="right"/>
    </xf>
    <xf numFmtId="171" fontId="8" fillId="2" borderId="25" xfId="0" applyNumberFormat="1" applyFont="1" applyFill="1" applyBorder="1" applyAlignment="1">
      <alignment horizontal="right"/>
    </xf>
    <xf numFmtId="171" fontId="8" fillId="2" borderId="33" xfId="0" applyNumberFormat="1" applyFont="1" applyFill="1" applyBorder="1" applyAlignment="1">
      <alignment horizontal="right"/>
    </xf>
    <xf numFmtId="171" fontId="8" fillId="2" borderId="30" xfId="0" applyNumberFormat="1" applyFont="1" applyFill="1" applyBorder="1" applyAlignment="1">
      <alignment horizontal="right"/>
    </xf>
    <xf numFmtId="5" fontId="8" fillId="4" borderId="0" xfId="0" applyNumberFormat="1" applyFont="1" applyFill="1" applyBorder="1" applyAlignment="1">
      <alignment horizontal="right"/>
    </xf>
    <xf numFmtId="5" fontId="8" fillId="2" borderId="38" xfId="0" applyNumberFormat="1" applyFont="1" applyFill="1" applyBorder="1" applyAlignment="1">
      <alignment horizontal="right"/>
    </xf>
    <xf numFmtId="5" fontId="8" fillId="2" borderId="24" xfId="0" applyNumberFormat="1" applyFont="1" applyFill="1" applyBorder="1" applyAlignment="1">
      <alignment horizontal="right"/>
    </xf>
    <xf numFmtId="5" fontId="8" fillId="2" borderId="39" xfId="0" applyNumberFormat="1" applyFont="1" applyFill="1" applyBorder="1"/>
    <xf numFmtId="5" fontId="8" fillId="2" borderId="32" xfId="0" applyNumberFormat="1" applyFont="1" applyFill="1" applyBorder="1"/>
    <xf numFmtId="5" fontId="8" fillId="2" borderId="37" xfId="0" applyNumberFormat="1" applyFont="1" applyFill="1" applyBorder="1"/>
    <xf numFmtId="5" fontId="8" fillId="4" borderId="7" xfId="0" applyNumberFormat="1" applyFont="1" applyFill="1" applyBorder="1"/>
    <xf numFmtId="5" fontId="8" fillId="2" borderId="36" xfId="0" applyNumberFormat="1" applyFont="1" applyFill="1" applyBorder="1"/>
    <xf numFmtId="5" fontId="8" fillId="2" borderId="29" xfId="0" applyNumberFormat="1" applyFont="1" applyFill="1" applyBorder="1"/>
    <xf numFmtId="5" fontId="8" fillId="2" borderId="24" xfId="0" applyNumberFormat="1" applyFont="1" applyFill="1" applyBorder="1"/>
    <xf numFmtId="5" fontId="8" fillId="2" borderId="23" xfId="0" applyNumberFormat="1" applyFont="1" applyFill="1" applyBorder="1" applyAlignment="1">
      <alignment horizontal="right"/>
    </xf>
    <xf numFmtId="183" fontId="8" fillId="2" borderId="25" xfId="0" applyNumberFormat="1" applyFont="1" applyFill="1" applyBorder="1" applyAlignment="1">
      <alignment horizontal="right"/>
    </xf>
    <xf numFmtId="5" fontId="13" fillId="4" borderId="7" xfId="0" applyNumberFormat="1" applyFont="1" applyFill="1" applyBorder="1" applyAlignment="1">
      <alignment horizontal="right"/>
    </xf>
    <xf numFmtId="5" fontId="13" fillId="4" borderId="2" xfId="0" applyNumberFormat="1" applyFont="1" applyFill="1" applyBorder="1" applyAlignment="1">
      <alignment horizontal="right"/>
    </xf>
    <xf numFmtId="5" fontId="13" fillId="4" borderId="15" xfId="0" applyNumberFormat="1" applyFont="1" applyFill="1" applyBorder="1"/>
    <xf numFmtId="5" fontId="12" fillId="4" borderId="0" xfId="0" applyNumberFormat="1" applyFont="1" applyFill="1" applyBorder="1"/>
    <xf numFmtId="0" fontId="12" fillId="4" borderId="0" xfId="0" applyFont="1" applyFill="1" applyBorder="1"/>
    <xf numFmtId="10" fontId="12" fillId="4" borderId="7" xfId="0" applyNumberFormat="1" applyFont="1" applyFill="1" applyBorder="1"/>
    <xf numFmtId="5" fontId="14" fillId="4" borderId="0" xfId="0" applyNumberFormat="1" applyFont="1" applyFill="1" applyBorder="1"/>
    <xf numFmtId="10" fontId="12" fillId="4" borderId="35" xfId="0" applyNumberFormat="1" applyFont="1" applyFill="1" applyBorder="1"/>
    <xf numFmtId="5" fontId="12" fillId="2" borderId="26" xfId="0" applyNumberFormat="1" applyFont="1" applyFill="1" applyBorder="1"/>
    <xf numFmtId="5" fontId="12" fillId="2" borderId="25" xfId="0" applyNumberFormat="1" applyFont="1" applyFill="1" applyBorder="1"/>
    <xf numFmtId="10" fontId="12" fillId="2" borderId="36" xfId="0" applyNumberFormat="1" applyFont="1" applyFill="1" applyBorder="1"/>
    <xf numFmtId="10" fontId="12" fillId="4" borderId="28" xfId="0" applyNumberFormat="1" applyFont="1" applyFill="1" applyBorder="1"/>
    <xf numFmtId="5" fontId="12" fillId="2" borderId="34" xfId="0" applyNumberFormat="1" applyFont="1" applyFill="1" applyBorder="1"/>
    <xf numFmtId="5" fontId="12" fillId="2" borderId="33" xfId="0" applyNumberFormat="1" applyFont="1" applyFill="1" applyBorder="1"/>
    <xf numFmtId="10" fontId="12" fillId="2" borderId="32" xfId="0" applyNumberFormat="1" applyFont="1" applyFill="1" applyBorder="1"/>
    <xf numFmtId="5" fontId="12" fillId="2" borderId="31" xfId="0" applyNumberFormat="1" applyFont="1" applyFill="1" applyBorder="1"/>
    <xf numFmtId="5" fontId="12" fillId="2" borderId="30" xfId="0" applyNumberFormat="1" applyFont="1" applyFill="1" applyBorder="1"/>
    <xf numFmtId="10" fontId="12" fillId="2" borderId="29" xfId="0" applyNumberFormat="1" applyFont="1" applyFill="1" applyBorder="1"/>
    <xf numFmtId="5" fontId="12" fillId="4" borderId="30" xfId="0" applyNumberFormat="1" applyFont="1" applyFill="1" applyBorder="1"/>
    <xf numFmtId="10" fontId="14" fillId="4" borderId="7" xfId="0" applyNumberFormat="1" applyFont="1" applyFill="1" applyBorder="1"/>
    <xf numFmtId="37" fontId="12" fillId="4" borderId="0" xfId="0" applyNumberFormat="1" applyFont="1" applyFill="1" applyBorder="1"/>
    <xf numFmtId="0" fontId="12" fillId="4" borderId="7" xfId="0" applyFont="1" applyFill="1" applyBorder="1"/>
    <xf numFmtId="171" fontId="12" fillId="4" borderId="0" xfId="0" applyNumberFormat="1" applyFont="1" applyFill="1" applyBorder="1"/>
    <xf numFmtId="0" fontId="12" fillId="4" borderId="2" xfId="0" applyFont="1" applyFill="1" applyBorder="1"/>
    <xf numFmtId="171" fontId="14" fillId="4" borderId="2" xfId="0" applyNumberFormat="1" applyFont="1" applyFill="1" applyBorder="1"/>
    <xf numFmtId="10" fontId="14" fillId="4" borderId="5" xfId="0" applyNumberFormat="1" applyFont="1" applyFill="1" applyBorder="1"/>
    <xf numFmtId="0" fontId="12" fillId="0" borderId="0" xfId="0" applyFont="1"/>
    <xf numFmtId="180" fontId="6" fillId="0" borderId="0" xfId="0" applyNumberFormat="1" applyFont="1"/>
    <xf numFmtId="0" fontId="17" fillId="0" borderId="0" xfId="0" applyFont="1" applyFill="1" applyAlignment="1">
      <alignment horizontal="centerContinuous"/>
    </xf>
    <xf numFmtId="37" fontId="26" fillId="4" borderId="0" xfId="0" applyNumberFormat="1" applyFont="1" applyFill="1" applyBorder="1" applyAlignment="1">
      <alignment horizontal="right"/>
    </xf>
    <xf numFmtId="5" fontId="26" fillId="4" borderId="5" xfId="0" applyNumberFormat="1" applyFont="1" applyFill="1" applyBorder="1" applyAlignment="1">
      <alignment horizontal="right"/>
    </xf>
    <xf numFmtId="184" fontId="11" fillId="4" borderId="0" xfId="0" applyNumberFormat="1" applyFont="1" applyFill="1" applyBorder="1" applyAlignment="1">
      <alignment horizontal="right"/>
    </xf>
    <xf numFmtId="5" fontId="11" fillId="4" borderId="7" xfId="0" applyNumberFormat="1" applyFont="1" applyFill="1" applyBorder="1"/>
    <xf numFmtId="5" fontId="26" fillId="4" borderId="7" xfId="0" applyNumberFormat="1" applyFont="1" applyFill="1" applyBorder="1"/>
    <xf numFmtId="184" fontId="26" fillId="4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Continuous"/>
    </xf>
    <xf numFmtId="0" fontId="3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5" fontId="10" fillId="0" borderId="0" xfId="0" applyNumberFormat="1" applyFont="1" applyFill="1"/>
    <xf numFmtId="44" fontId="8" fillId="0" borderId="0" xfId="0" applyNumberFormat="1" applyFont="1" applyFill="1" applyBorder="1" applyAlignment="1">
      <alignment horizontal="center"/>
    </xf>
    <xf numFmtId="173" fontId="8" fillId="0" borderId="0" xfId="0" applyNumberFormat="1" applyFont="1" applyFill="1" applyBorder="1"/>
    <xf numFmtId="3" fontId="8" fillId="0" borderId="0" xfId="0" applyNumberFormat="1" applyFont="1"/>
    <xf numFmtId="173" fontId="8" fillId="0" borderId="0" xfId="0" applyNumberFormat="1" applyFont="1"/>
    <xf numFmtId="3" fontId="8" fillId="0" borderId="0" xfId="0" applyNumberFormat="1" applyFont="1" applyFill="1"/>
    <xf numFmtId="0" fontId="8" fillId="0" borderId="0" xfId="0" applyFont="1"/>
    <xf numFmtId="37" fontId="8" fillId="0" borderId="0" xfId="0" applyNumberFormat="1" applyFont="1" applyFill="1" applyBorder="1"/>
    <xf numFmtId="168" fontId="8" fillId="0" borderId="14" xfId="0" applyNumberFormat="1" applyFont="1" applyFill="1" applyBorder="1"/>
    <xf numFmtId="168" fontId="8" fillId="0" borderId="0" xfId="0" applyNumberFormat="1" applyFont="1" applyFill="1" applyBorder="1"/>
    <xf numFmtId="168" fontId="8" fillId="0" borderId="7" xfId="0" applyNumberFormat="1" applyFont="1" applyFill="1" applyBorder="1"/>
    <xf numFmtId="170" fontId="8" fillId="0" borderId="3" xfId="0" applyNumberFormat="1" applyFont="1" applyFill="1" applyBorder="1"/>
    <xf numFmtId="170" fontId="8" fillId="0" borderId="15" xfId="0" applyNumberFormat="1" applyFont="1" applyFill="1" applyBorder="1"/>
    <xf numFmtId="0" fontId="8" fillId="0" borderId="0" xfId="0" applyFont="1" applyFill="1" applyBorder="1"/>
    <xf numFmtId="170" fontId="8" fillId="0" borderId="0" xfId="0" applyNumberFormat="1" applyFont="1" applyFill="1" applyBorder="1"/>
    <xf numFmtId="170" fontId="8" fillId="0" borderId="7" xfId="0" applyNumberFormat="1" applyFont="1" applyFill="1" applyBorder="1"/>
    <xf numFmtId="9" fontId="8" fillId="0" borderId="0" xfId="0" applyNumberFormat="1" applyFont="1" applyFill="1" applyBorder="1"/>
    <xf numFmtId="0" fontId="8" fillId="0" borderId="2" xfId="0" applyFont="1" applyFill="1" applyBorder="1"/>
    <xf numFmtId="9" fontId="8" fillId="0" borderId="2" xfId="0" applyNumberFormat="1" applyFont="1" applyFill="1" applyBorder="1"/>
    <xf numFmtId="170" fontId="8" fillId="0" borderId="5" xfId="0" applyNumberFormat="1" applyFont="1" applyFill="1" applyBorder="1"/>
    <xf numFmtId="42" fontId="8" fillId="0" borderId="1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42" fontId="12" fillId="0" borderId="1" xfId="0" applyNumberFormat="1" applyFont="1" applyBorder="1" applyAlignment="1">
      <alignment horizontal="center"/>
    </xf>
    <xf numFmtId="168" fontId="8" fillId="0" borderId="0" xfId="0" applyNumberFormat="1" applyFont="1" applyAlignment="1">
      <alignment horizontal="left"/>
    </xf>
    <xf numFmtId="42" fontId="8" fillId="0" borderId="0" xfId="0" applyNumberFormat="1" applyFont="1" applyAlignment="1">
      <alignment horizontal="left"/>
    </xf>
    <xf numFmtId="168" fontId="12" fillId="0" borderId="0" xfId="0" applyNumberFormat="1" applyFont="1" applyAlignment="1">
      <alignment horizontal="left"/>
    </xf>
    <xf numFmtId="166" fontId="10" fillId="0" borderId="0" xfId="0" applyNumberFormat="1" applyFont="1" applyBorder="1"/>
    <xf numFmtId="10" fontId="11" fillId="0" borderId="0" xfId="0" applyNumberFormat="1" applyFont="1"/>
    <xf numFmtId="169" fontId="12" fillId="0" borderId="0" xfId="0" applyNumberFormat="1" applyFont="1" applyBorder="1"/>
    <xf numFmtId="168" fontId="12" fillId="0" borderId="3" xfId="0" applyNumberFormat="1" applyFont="1" applyBorder="1"/>
    <xf numFmtId="166" fontId="12" fillId="0" borderId="0" xfId="0" applyNumberFormat="1" applyFont="1" applyBorder="1"/>
    <xf numFmtId="3" fontId="1" fillId="0" borderId="0" xfId="0" applyNumberFormat="1" applyFont="1" applyFill="1" applyBorder="1"/>
    <xf numFmtId="173" fontId="12" fillId="0" borderId="0" xfId="0" applyNumberFormat="1" applyFont="1" applyFill="1" applyBorder="1"/>
    <xf numFmtId="43" fontId="11" fillId="0" borderId="0" xfId="0" applyNumberFormat="1" applyFont="1"/>
    <xf numFmtId="166" fontId="1" fillId="0" borderId="0" xfId="0" applyNumberFormat="1" applyFont="1" applyBorder="1"/>
    <xf numFmtId="0" fontId="1" fillId="0" borderId="0" xfId="0" applyFont="1" applyFill="1" applyBorder="1" applyAlignment="1">
      <alignment horizontal="left" vertical="center" textRotation="180"/>
    </xf>
    <xf numFmtId="168" fontId="1" fillId="0" borderId="3" xfId="0" applyNumberFormat="1" applyFont="1" applyBorder="1" applyAlignment="1">
      <alignment horizontal="left"/>
    </xf>
    <xf numFmtId="166" fontId="1" fillId="0" borderId="3" xfId="0" applyNumberFormat="1" applyFont="1" applyBorder="1" applyAlignment="1">
      <alignment horizontal="left"/>
    </xf>
    <xf numFmtId="169" fontId="1" fillId="0" borderId="3" xfId="0" applyNumberFormat="1" applyFont="1" applyFill="1" applyBorder="1"/>
    <xf numFmtId="0" fontId="27" fillId="2" borderId="0" xfId="1" applyFill="1"/>
    <xf numFmtId="0" fontId="2" fillId="2" borderId="0" xfId="2" applyFont="1" applyFill="1"/>
    <xf numFmtId="166" fontId="10" fillId="2" borderId="42" xfId="0" applyNumberFormat="1" applyFont="1" applyFill="1" applyBorder="1"/>
    <xf numFmtId="166" fontId="12" fillId="2" borderId="43" xfId="0" applyNumberFormat="1" applyFont="1" applyFill="1" applyBorder="1"/>
    <xf numFmtId="5" fontId="12" fillId="2" borderId="44" xfId="0" applyNumberFormat="1" applyFont="1" applyFill="1" applyBorder="1"/>
    <xf numFmtId="5" fontId="12" fillId="2" borderId="45" xfId="0" applyNumberFormat="1" applyFont="1" applyFill="1" applyBorder="1"/>
    <xf numFmtId="10" fontId="12" fillId="2" borderId="39" xfId="0" applyNumberFormat="1" applyFont="1" applyFill="1" applyBorder="1"/>
    <xf numFmtId="10" fontId="12" fillId="2" borderId="37" xfId="0" applyNumberFormat="1" applyFont="1" applyFill="1" applyBorder="1"/>
    <xf numFmtId="5" fontId="12" fillId="2" borderId="23" xfId="0" applyNumberFormat="1" applyFont="1" applyFill="1" applyBorder="1"/>
    <xf numFmtId="5" fontId="12" fillId="2" borderId="46" xfId="0" applyNumberFormat="1" applyFont="1" applyFill="1" applyBorder="1"/>
    <xf numFmtId="5" fontId="12" fillId="2" borderId="22" xfId="0" applyNumberFormat="1" applyFont="1" applyFill="1" applyBorder="1"/>
    <xf numFmtId="10" fontId="12" fillId="2" borderId="23" xfId="0" applyNumberFormat="1" applyFont="1" applyFill="1" applyBorder="1"/>
    <xf numFmtId="10" fontId="12" fillId="2" borderId="46" xfId="0" applyNumberFormat="1" applyFont="1" applyFill="1" applyBorder="1"/>
    <xf numFmtId="10" fontId="12" fillId="2" borderId="22" xfId="0" applyNumberFormat="1" applyFont="1" applyFill="1" applyBorder="1"/>
    <xf numFmtId="5" fontId="1" fillId="2" borderId="47" xfId="0" applyNumberFormat="1" applyFont="1" applyFill="1" applyBorder="1" applyAlignment="1">
      <alignment horizontal="right"/>
    </xf>
    <xf numFmtId="5" fontId="12" fillId="2" borderId="48" xfId="0" applyNumberFormat="1" applyFont="1" applyFill="1" applyBorder="1"/>
    <xf numFmtId="171" fontId="8" fillId="2" borderId="47" xfId="0" applyNumberFormat="1" applyFont="1" applyFill="1" applyBorder="1" applyAlignment="1">
      <alignment horizontal="right"/>
    </xf>
    <xf numFmtId="10" fontId="12" fillId="2" borderId="45" xfId="0" applyNumberFormat="1" applyFont="1" applyFill="1" applyBorder="1"/>
    <xf numFmtId="10" fontId="12" fillId="2" borderId="48" xfId="0" applyNumberFormat="1" applyFont="1" applyFill="1" applyBorder="1"/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3" fillId="3" borderId="41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37" fontId="3" fillId="4" borderId="14" xfId="0" applyNumberFormat="1" applyFont="1" applyFill="1" applyBorder="1" applyAlignment="1">
      <alignment horizontal="center"/>
    </xf>
    <xf numFmtId="37" fontId="3" fillId="4" borderId="0" xfId="0" applyNumberFormat="1" applyFont="1" applyFill="1" applyBorder="1" applyAlignment="1">
      <alignment horizontal="center"/>
    </xf>
    <xf numFmtId="37" fontId="3" fillId="4" borderId="7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</cellXfs>
  <cellStyles count="3">
    <cellStyle name="Normal" xfId="0" builtinId="0"/>
    <cellStyle name="Normal - Style1 2 2 3 4" xfId="1"/>
    <cellStyle name="Normal 2 2" xfId="2"/>
  </cellStyles>
  <dxfs count="0"/>
  <tableStyles count="0" defaultTableStyle="TableStyleMedium9" defaultPivotStyle="PivotStyleLight16"/>
  <colors>
    <mruColors>
      <color rgb="FF0000FF"/>
      <color rgb="FF008080"/>
      <color rgb="FF00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333375</xdr:colOff>
      <xdr:row>2</xdr:row>
      <xdr:rowOff>180975</xdr:rowOff>
    </xdr:from>
    <xdr:ext cx="6542857" cy="3304762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5" y="561975"/>
          <a:ext cx="6542857" cy="3304762"/>
        </a:xfrm>
        <a:prstGeom prst="rect">
          <a:avLst/>
        </a:prstGeom>
      </xdr:spPr>
    </xdr:pic>
    <xdr:clientData/>
  </xdr:oneCellAnchor>
  <xdr:twoCellAnchor>
    <xdr:from>
      <xdr:col>1</xdr:col>
      <xdr:colOff>85725</xdr:colOff>
      <xdr:row>12</xdr:row>
      <xdr:rowOff>9525</xdr:rowOff>
    </xdr:from>
    <xdr:to>
      <xdr:col>1</xdr:col>
      <xdr:colOff>1019175</xdr:colOff>
      <xdr:row>13</xdr:row>
      <xdr:rowOff>142875</xdr:rowOff>
    </xdr:to>
    <xdr:sp macro="" textlink="">
      <xdr:nvSpPr>
        <xdr:cNvPr id="3" name="TextBox 2"/>
        <xdr:cNvSpPr txBox="1"/>
      </xdr:nvSpPr>
      <xdr:spPr>
        <a:xfrm>
          <a:off x="3810000" y="1733550"/>
          <a:ext cx="93345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</xdr:col>
      <xdr:colOff>85724</xdr:colOff>
      <xdr:row>15</xdr:row>
      <xdr:rowOff>0</xdr:rowOff>
    </xdr:from>
    <xdr:to>
      <xdr:col>1</xdr:col>
      <xdr:colOff>1057275</xdr:colOff>
      <xdr:row>16</xdr:row>
      <xdr:rowOff>66675</xdr:rowOff>
    </xdr:to>
    <xdr:sp macro="" textlink="">
      <xdr:nvSpPr>
        <xdr:cNvPr id="4" name="TextBox 3"/>
        <xdr:cNvSpPr txBox="1"/>
      </xdr:nvSpPr>
      <xdr:spPr>
        <a:xfrm>
          <a:off x="3809999" y="2171700"/>
          <a:ext cx="971551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1790700</xdr:colOff>
      <xdr:row>14</xdr:row>
      <xdr:rowOff>57150</xdr:rowOff>
    </xdr:from>
    <xdr:to>
      <xdr:col>21</xdr:col>
      <xdr:colOff>209550</xdr:colOff>
      <xdr:row>16</xdr:row>
      <xdr:rowOff>38100</xdr:rowOff>
    </xdr:to>
    <xdr:sp macro="" textlink="">
      <xdr:nvSpPr>
        <xdr:cNvPr id="2" name="TextBox 1"/>
        <xdr:cNvSpPr txBox="1"/>
      </xdr:nvSpPr>
      <xdr:spPr>
        <a:xfrm>
          <a:off x="19459575" y="2238375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12</xdr:col>
      <xdr:colOff>571500</xdr:colOff>
      <xdr:row>14</xdr:row>
      <xdr:rowOff>47625</xdr:rowOff>
    </xdr:from>
    <xdr:to>
      <xdr:col>13</xdr:col>
      <xdr:colOff>142875</xdr:colOff>
      <xdr:row>16</xdr:row>
      <xdr:rowOff>28575</xdr:rowOff>
    </xdr:to>
    <xdr:sp macro="" textlink="">
      <xdr:nvSpPr>
        <xdr:cNvPr id="3" name="TextBox 2"/>
        <xdr:cNvSpPr txBox="1"/>
      </xdr:nvSpPr>
      <xdr:spPr>
        <a:xfrm>
          <a:off x="12249150" y="2228850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647700</xdr:colOff>
      <xdr:row>14</xdr:row>
      <xdr:rowOff>104775</xdr:rowOff>
    </xdr:from>
    <xdr:to>
      <xdr:col>4</xdr:col>
      <xdr:colOff>219075</xdr:colOff>
      <xdr:row>16</xdr:row>
      <xdr:rowOff>85725</xdr:rowOff>
    </xdr:to>
    <xdr:sp macro="" textlink="">
      <xdr:nvSpPr>
        <xdr:cNvPr id="4" name="TextBox 3"/>
        <xdr:cNvSpPr txBox="1"/>
      </xdr:nvSpPr>
      <xdr:spPr>
        <a:xfrm>
          <a:off x="3790950" y="2286000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22</xdr:col>
      <xdr:colOff>285750</xdr:colOff>
      <xdr:row>48</xdr:row>
      <xdr:rowOff>0</xdr:rowOff>
    </xdr:from>
    <xdr:to>
      <xdr:col>23</xdr:col>
      <xdr:colOff>323850</xdr:colOff>
      <xdr:row>49</xdr:row>
      <xdr:rowOff>123825</xdr:rowOff>
    </xdr:to>
    <xdr:sp macro="" textlink="">
      <xdr:nvSpPr>
        <xdr:cNvPr id="5" name="TextBox 4"/>
        <xdr:cNvSpPr txBox="1"/>
      </xdr:nvSpPr>
      <xdr:spPr>
        <a:xfrm>
          <a:off x="21288375" y="7038975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15</xdr:col>
      <xdr:colOff>438150</xdr:colOff>
      <xdr:row>49</xdr:row>
      <xdr:rowOff>123825</xdr:rowOff>
    </xdr:to>
    <xdr:sp macro="" textlink="">
      <xdr:nvSpPr>
        <xdr:cNvPr id="6" name="TextBox 5"/>
        <xdr:cNvSpPr txBox="1"/>
      </xdr:nvSpPr>
      <xdr:spPr>
        <a:xfrm>
          <a:off x="13916025" y="7038975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6</xdr:col>
      <xdr:colOff>438150</xdr:colOff>
      <xdr:row>49</xdr:row>
      <xdr:rowOff>123825</xdr:rowOff>
    </xdr:to>
    <xdr:sp macro="" textlink="">
      <xdr:nvSpPr>
        <xdr:cNvPr id="7" name="TextBox 6"/>
        <xdr:cNvSpPr txBox="1"/>
      </xdr:nvSpPr>
      <xdr:spPr>
        <a:xfrm>
          <a:off x="5381625" y="7038975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6</xdr:col>
      <xdr:colOff>438150</xdr:colOff>
      <xdr:row>59</xdr:row>
      <xdr:rowOff>123825</xdr:rowOff>
    </xdr:to>
    <xdr:sp macro="" textlink="">
      <xdr:nvSpPr>
        <xdr:cNvPr id="8" name="TextBox 7"/>
        <xdr:cNvSpPr txBox="1"/>
      </xdr:nvSpPr>
      <xdr:spPr>
        <a:xfrm>
          <a:off x="5381625" y="8467725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15</xdr:col>
      <xdr:colOff>438150</xdr:colOff>
      <xdr:row>59</xdr:row>
      <xdr:rowOff>123825</xdr:rowOff>
    </xdr:to>
    <xdr:sp macro="" textlink="">
      <xdr:nvSpPr>
        <xdr:cNvPr id="9" name="TextBox 8"/>
        <xdr:cNvSpPr txBox="1"/>
      </xdr:nvSpPr>
      <xdr:spPr>
        <a:xfrm>
          <a:off x="13916025" y="8467725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20</xdr:col>
      <xdr:colOff>2495550</xdr:colOff>
      <xdr:row>58</xdr:row>
      <xdr:rowOff>104775</xdr:rowOff>
    </xdr:from>
    <xdr:to>
      <xdr:col>22</xdr:col>
      <xdr:colOff>95250</xdr:colOff>
      <xdr:row>60</xdr:row>
      <xdr:rowOff>85725</xdr:rowOff>
    </xdr:to>
    <xdr:sp macro="" textlink="">
      <xdr:nvSpPr>
        <xdr:cNvPr id="10" name="TextBox 9"/>
        <xdr:cNvSpPr txBox="1"/>
      </xdr:nvSpPr>
      <xdr:spPr>
        <a:xfrm>
          <a:off x="20164425" y="8572500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23</xdr:col>
      <xdr:colOff>542925</xdr:colOff>
      <xdr:row>58</xdr:row>
      <xdr:rowOff>95250</xdr:rowOff>
    </xdr:from>
    <xdr:to>
      <xdr:col>24</xdr:col>
      <xdr:colOff>657225</xdr:colOff>
      <xdr:row>60</xdr:row>
      <xdr:rowOff>76200</xdr:rowOff>
    </xdr:to>
    <xdr:sp macro="" textlink="">
      <xdr:nvSpPr>
        <xdr:cNvPr id="11" name="TextBox 10"/>
        <xdr:cNvSpPr txBox="1"/>
      </xdr:nvSpPr>
      <xdr:spPr>
        <a:xfrm>
          <a:off x="22440900" y="8562975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24</xdr:col>
      <xdr:colOff>114300</xdr:colOff>
      <xdr:row>69</xdr:row>
      <xdr:rowOff>123825</xdr:rowOff>
    </xdr:to>
    <xdr:sp macro="" textlink="">
      <xdr:nvSpPr>
        <xdr:cNvPr id="12" name="TextBox 11"/>
        <xdr:cNvSpPr txBox="1"/>
      </xdr:nvSpPr>
      <xdr:spPr>
        <a:xfrm>
          <a:off x="21897975" y="9896475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16</xdr:col>
      <xdr:colOff>0</xdr:colOff>
      <xdr:row>68</xdr:row>
      <xdr:rowOff>0</xdr:rowOff>
    </xdr:from>
    <xdr:to>
      <xdr:col>17</xdr:col>
      <xdr:colOff>9525</xdr:colOff>
      <xdr:row>69</xdr:row>
      <xdr:rowOff>123825</xdr:rowOff>
    </xdr:to>
    <xdr:sp macro="" textlink="">
      <xdr:nvSpPr>
        <xdr:cNvPr id="13" name="TextBox 12"/>
        <xdr:cNvSpPr txBox="1"/>
      </xdr:nvSpPr>
      <xdr:spPr>
        <a:xfrm>
          <a:off x="15116175" y="9896475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581025</xdr:colOff>
      <xdr:row>67</xdr:row>
      <xdr:rowOff>85725</xdr:rowOff>
    </xdr:from>
    <xdr:to>
      <xdr:col>7</xdr:col>
      <xdr:colOff>771525</xdr:colOff>
      <xdr:row>69</xdr:row>
      <xdr:rowOff>66675</xdr:rowOff>
    </xdr:to>
    <xdr:sp macro="" textlink="">
      <xdr:nvSpPr>
        <xdr:cNvPr id="14" name="TextBox 13"/>
        <xdr:cNvSpPr txBox="1"/>
      </xdr:nvSpPr>
      <xdr:spPr>
        <a:xfrm>
          <a:off x="6457950" y="9839325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72</xdr:row>
      <xdr:rowOff>0</xdr:rowOff>
    </xdr:from>
    <xdr:to>
      <xdr:col>7</xdr:col>
      <xdr:colOff>190500</xdr:colOff>
      <xdr:row>73</xdr:row>
      <xdr:rowOff>123825</xdr:rowOff>
    </xdr:to>
    <xdr:sp macro="" textlink="">
      <xdr:nvSpPr>
        <xdr:cNvPr id="15" name="TextBox 14"/>
        <xdr:cNvSpPr txBox="1"/>
      </xdr:nvSpPr>
      <xdr:spPr>
        <a:xfrm>
          <a:off x="5876925" y="10467975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15</xdr:col>
      <xdr:colOff>0</xdr:colOff>
      <xdr:row>72</xdr:row>
      <xdr:rowOff>0</xdr:rowOff>
    </xdr:from>
    <xdr:to>
      <xdr:col>16</xdr:col>
      <xdr:colOff>228600</xdr:colOff>
      <xdr:row>73</xdr:row>
      <xdr:rowOff>123825</xdr:rowOff>
    </xdr:to>
    <xdr:sp macro="" textlink="">
      <xdr:nvSpPr>
        <xdr:cNvPr id="16" name="TextBox 15"/>
        <xdr:cNvSpPr txBox="1"/>
      </xdr:nvSpPr>
      <xdr:spPr>
        <a:xfrm>
          <a:off x="14411325" y="10467975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24</xdr:col>
      <xdr:colOff>114300</xdr:colOff>
      <xdr:row>73</xdr:row>
      <xdr:rowOff>123825</xdr:rowOff>
    </xdr:to>
    <xdr:sp macro="" textlink="">
      <xdr:nvSpPr>
        <xdr:cNvPr id="17" name="TextBox 16"/>
        <xdr:cNvSpPr txBox="1"/>
      </xdr:nvSpPr>
      <xdr:spPr>
        <a:xfrm>
          <a:off x="21897975" y="10467975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24</xdr:col>
      <xdr:colOff>114300</xdr:colOff>
      <xdr:row>78</xdr:row>
      <xdr:rowOff>123825</xdr:rowOff>
    </xdr:to>
    <xdr:sp macro="" textlink="">
      <xdr:nvSpPr>
        <xdr:cNvPr id="18" name="TextBox 17"/>
        <xdr:cNvSpPr txBox="1"/>
      </xdr:nvSpPr>
      <xdr:spPr>
        <a:xfrm>
          <a:off x="21897975" y="11182350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16</xdr:col>
      <xdr:colOff>0</xdr:colOff>
      <xdr:row>78</xdr:row>
      <xdr:rowOff>0</xdr:rowOff>
    </xdr:from>
    <xdr:to>
      <xdr:col>17</xdr:col>
      <xdr:colOff>9525</xdr:colOff>
      <xdr:row>79</xdr:row>
      <xdr:rowOff>123825</xdr:rowOff>
    </xdr:to>
    <xdr:sp macro="" textlink="">
      <xdr:nvSpPr>
        <xdr:cNvPr id="19" name="TextBox 18"/>
        <xdr:cNvSpPr txBox="1"/>
      </xdr:nvSpPr>
      <xdr:spPr>
        <a:xfrm>
          <a:off x="15116175" y="11325225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0</xdr:colOff>
      <xdr:row>77</xdr:row>
      <xdr:rowOff>0</xdr:rowOff>
    </xdr:from>
    <xdr:to>
      <xdr:col>8</xdr:col>
      <xdr:colOff>9525</xdr:colOff>
      <xdr:row>78</xdr:row>
      <xdr:rowOff>123825</xdr:rowOff>
    </xdr:to>
    <xdr:sp macro="" textlink="">
      <xdr:nvSpPr>
        <xdr:cNvPr id="20" name="TextBox 19"/>
        <xdr:cNvSpPr txBox="1"/>
      </xdr:nvSpPr>
      <xdr:spPr>
        <a:xfrm>
          <a:off x="6619875" y="11182350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82</xdr:row>
      <xdr:rowOff>0</xdr:rowOff>
    </xdr:from>
    <xdr:to>
      <xdr:col>7</xdr:col>
      <xdr:colOff>190500</xdr:colOff>
      <xdr:row>83</xdr:row>
      <xdr:rowOff>123825</xdr:rowOff>
    </xdr:to>
    <xdr:sp macro="" textlink="">
      <xdr:nvSpPr>
        <xdr:cNvPr id="21" name="TextBox 20"/>
        <xdr:cNvSpPr txBox="1"/>
      </xdr:nvSpPr>
      <xdr:spPr>
        <a:xfrm>
          <a:off x="5876925" y="11896725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15</xdr:col>
      <xdr:colOff>0</xdr:colOff>
      <xdr:row>82</xdr:row>
      <xdr:rowOff>0</xdr:rowOff>
    </xdr:from>
    <xdr:to>
      <xdr:col>16</xdr:col>
      <xdr:colOff>228600</xdr:colOff>
      <xdr:row>83</xdr:row>
      <xdr:rowOff>123825</xdr:rowOff>
    </xdr:to>
    <xdr:sp macro="" textlink="">
      <xdr:nvSpPr>
        <xdr:cNvPr id="22" name="TextBox 21"/>
        <xdr:cNvSpPr txBox="1"/>
      </xdr:nvSpPr>
      <xdr:spPr>
        <a:xfrm>
          <a:off x="14411325" y="11896725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24</xdr:col>
      <xdr:colOff>114300</xdr:colOff>
      <xdr:row>83</xdr:row>
      <xdr:rowOff>123825</xdr:rowOff>
    </xdr:to>
    <xdr:sp macro="" textlink="">
      <xdr:nvSpPr>
        <xdr:cNvPr id="23" name="TextBox 22"/>
        <xdr:cNvSpPr txBox="1"/>
      </xdr:nvSpPr>
      <xdr:spPr>
        <a:xfrm>
          <a:off x="21897975" y="11896725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24</xdr:col>
      <xdr:colOff>114300</xdr:colOff>
      <xdr:row>88</xdr:row>
      <xdr:rowOff>123825</xdr:rowOff>
    </xdr:to>
    <xdr:sp macro="" textlink="">
      <xdr:nvSpPr>
        <xdr:cNvPr id="24" name="TextBox 23"/>
        <xdr:cNvSpPr txBox="1"/>
      </xdr:nvSpPr>
      <xdr:spPr>
        <a:xfrm>
          <a:off x="21897975" y="12611100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15</xdr:col>
      <xdr:colOff>438150</xdr:colOff>
      <xdr:row>88</xdr:row>
      <xdr:rowOff>123825</xdr:rowOff>
    </xdr:to>
    <xdr:sp macro="" textlink="">
      <xdr:nvSpPr>
        <xdr:cNvPr id="25" name="TextBox 24"/>
        <xdr:cNvSpPr txBox="1"/>
      </xdr:nvSpPr>
      <xdr:spPr>
        <a:xfrm>
          <a:off x="13916025" y="12611100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87</xdr:row>
      <xdr:rowOff>0</xdr:rowOff>
    </xdr:from>
    <xdr:to>
      <xdr:col>7</xdr:col>
      <xdr:colOff>190500</xdr:colOff>
      <xdr:row>88</xdr:row>
      <xdr:rowOff>123825</xdr:rowOff>
    </xdr:to>
    <xdr:sp macro="" textlink="">
      <xdr:nvSpPr>
        <xdr:cNvPr id="26" name="TextBox 25"/>
        <xdr:cNvSpPr txBox="1"/>
      </xdr:nvSpPr>
      <xdr:spPr>
        <a:xfrm>
          <a:off x="5876925" y="12611100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8</xdr:col>
      <xdr:colOff>0</xdr:colOff>
      <xdr:row>91</xdr:row>
      <xdr:rowOff>0</xdr:rowOff>
    </xdr:from>
    <xdr:to>
      <xdr:col>9</xdr:col>
      <xdr:colOff>9525</xdr:colOff>
      <xdr:row>92</xdr:row>
      <xdr:rowOff>123825</xdr:rowOff>
    </xdr:to>
    <xdr:sp macro="" textlink="">
      <xdr:nvSpPr>
        <xdr:cNvPr id="27" name="TextBox 26"/>
        <xdr:cNvSpPr txBox="1"/>
      </xdr:nvSpPr>
      <xdr:spPr>
        <a:xfrm>
          <a:off x="7543800" y="13182600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17</xdr:col>
      <xdr:colOff>0</xdr:colOff>
      <xdr:row>91</xdr:row>
      <xdr:rowOff>0</xdr:rowOff>
    </xdr:from>
    <xdr:to>
      <xdr:col>18</xdr:col>
      <xdr:colOff>38100</xdr:colOff>
      <xdr:row>92</xdr:row>
      <xdr:rowOff>123825</xdr:rowOff>
    </xdr:to>
    <xdr:sp macro="" textlink="">
      <xdr:nvSpPr>
        <xdr:cNvPr id="28" name="TextBox 27"/>
        <xdr:cNvSpPr txBox="1"/>
      </xdr:nvSpPr>
      <xdr:spPr>
        <a:xfrm>
          <a:off x="16040100" y="13182600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23</xdr:col>
      <xdr:colOff>0</xdr:colOff>
      <xdr:row>91</xdr:row>
      <xdr:rowOff>0</xdr:rowOff>
    </xdr:from>
    <xdr:to>
      <xdr:col>24</xdr:col>
      <xdr:colOff>114300</xdr:colOff>
      <xdr:row>92</xdr:row>
      <xdr:rowOff>123825</xdr:rowOff>
    </xdr:to>
    <xdr:sp macro="" textlink="">
      <xdr:nvSpPr>
        <xdr:cNvPr id="29" name="TextBox 28"/>
        <xdr:cNvSpPr txBox="1"/>
      </xdr:nvSpPr>
      <xdr:spPr>
        <a:xfrm>
          <a:off x="21897975" y="13182600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1.bin"/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3.bin"/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customProperty" Target="../customProperty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"/>
  <sheetViews>
    <sheetView workbookViewId="0">
      <selection activeCell="F12" sqref="F12"/>
    </sheetView>
  </sheetViews>
  <sheetFormatPr defaultColWidth="9.140625" defaultRowHeight="12.75" x14ac:dyDescent="0.2"/>
  <cols>
    <col min="1" max="16384" width="9.140625" style="521"/>
  </cols>
  <sheetData>
    <row r="2" spans="1:1" ht="15.75" x14ac:dyDescent="0.25">
      <c r="A2" s="522" t="s">
        <v>373</v>
      </c>
    </row>
  </sheetData>
  <phoneticPr fontId="1" type="noConversion"/>
  <pageMargins left="0.75" right="0.75" top="1" bottom="1" header="0.5" footer="0.5"/>
  <pageSetup scale="95" orientation="landscape" horizontalDpi="300" verticalDpi="300" r:id="rId1"/>
  <headerFooter alignWithMargins="0"/>
  <customProperties>
    <customPr name="_pios_id" r:id="rId2"/>
    <customPr name="EpmWorksheetKeyString_GUID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42"/>
  <sheetViews>
    <sheetView zoomScaleNormal="100" workbookViewId="0">
      <pane xSplit="1" topLeftCell="B1" activePane="topRight" state="frozen"/>
      <selection pane="topRight" activeCell="L39" sqref="L39"/>
    </sheetView>
  </sheetViews>
  <sheetFormatPr defaultColWidth="9.140625" defaultRowHeight="11.25" x14ac:dyDescent="0.2"/>
  <cols>
    <col min="1" max="1" width="35.5703125" style="4" customWidth="1"/>
    <col min="2" max="13" width="11.7109375" style="4" customWidth="1"/>
    <col min="14" max="14" width="16.28515625" style="4" bestFit="1" customWidth="1"/>
    <col min="15" max="15" width="11.28515625" style="4" bestFit="1" customWidth="1"/>
    <col min="16" max="16384" width="9.140625" style="4"/>
  </cols>
  <sheetData>
    <row r="1" spans="1:15" x14ac:dyDescent="0.2">
      <c r="A1" s="1" t="str">
        <f>'Rates Summary '!B1</f>
        <v>Puget Sound Energy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6"/>
    </row>
    <row r="2" spans="1:15" x14ac:dyDescent="0.2">
      <c r="A2" s="151" t="str">
        <f>'Rates Summary '!B2</f>
        <v>2024 Gas Schedule 101 Purchased Gas Adjustment (PGA) Filing</v>
      </c>
      <c r="B2" s="2"/>
      <c r="C2" s="2"/>
      <c r="D2" s="2"/>
      <c r="E2" s="2"/>
      <c r="F2" s="148"/>
      <c r="G2" s="2"/>
      <c r="H2" s="2"/>
      <c r="I2" s="2"/>
      <c r="J2" s="2"/>
      <c r="K2" s="2"/>
      <c r="L2" s="2"/>
      <c r="M2" s="2"/>
      <c r="N2" s="16"/>
    </row>
    <row r="3" spans="1:15" x14ac:dyDescent="0.2">
      <c r="A3" s="1" t="s">
        <v>40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6"/>
    </row>
    <row r="4" spans="1:15" x14ac:dyDescent="0.2">
      <c r="A4" s="17"/>
      <c r="B4" s="10"/>
      <c r="C4" s="10"/>
      <c r="D4" s="10"/>
      <c r="E4" s="10"/>
      <c r="F4" s="10"/>
      <c r="G4" s="10"/>
      <c r="H4" s="10"/>
      <c r="I4" s="10"/>
      <c r="J4" s="10"/>
      <c r="K4" s="17"/>
      <c r="L4" s="10"/>
      <c r="M4" s="10"/>
      <c r="N4" s="10"/>
    </row>
    <row r="5" spans="1:15" x14ac:dyDescent="0.2">
      <c r="A5" s="17"/>
      <c r="B5" s="10"/>
      <c r="C5" s="10"/>
      <c r="D5" s="10"/>
      <c r="E5" s="10"/>
      <c r="F5" s="10"/>
      <c r="G5" s="10"/>
      <c r="H5" s="10"/>
      <c r="I5" s="10"/>
      <c r="J5" s="10"/>
      <c r="K5" s="17"/>
      <c r="L5" s="10"/>
      <c r="M5" s="10"/>
      <c r="N5" s="10"/>
    </row>
    <row r="6" spans="1:15" x14ac:dyDescent="0.2">
      <c r="A6" s="17" t="s">
        <v>24</v>
      </c>
      <c r="G6" s="17"/>
      <c r="H6" s="17"/>
      <c r="N6" s="168" t="str">
        <f>TEXT(B7,"MMM. YYYY")&amp;" - "&amp;TEXT(M7,"MMM. YYYY")</f>
        <v>Nov. 2024 - Oct. 2025</v>
      </c>
    </row>
    <row r="7" spans="1:15" x14ac:dyDescent="0.2">
      <c r="A7" s="14" t="s">
        <v>36</v>
      </c>
      <c r="B7" s="169">
        <v>45597</v>
      </c>
      <c r="C7" s="169">
        <f t="shared" ref="C7:M7" si="0">EDATE(B7,1)</f>
        <v>45627</v>
      </c>
      <c r="D7" s="169">
        <f t="shared" si="0"/>
        <v>45658</v>
      </c>
      <c r="E7" s="169">
        <f t="shared" si="0"/>
        <v>45689</v>
      </c>
      <c r="F7" s="169">
        <f t="shared" si="0"/>
        <v>45717</v>
      </c>
      <c r="G7" s="169">
        <f t="shared" si="0"/>
        <v>45748</v>
      </c>
      <c r="H7" s="169">
        <f t="shared" si="0"/>
        <v>45778</v>
      </c>
      <c r="I7" s="169">
        <f t="shared" si="0"/>
        <v>45809</v>
      </c>
      <c r="J7" s="169">
        <f t="shared" si="0"/>
        <v>45839</v>
      </c>
      <c r="K7" s="169">
        <f t="shared" si="0"/>
        <v>45870</v>
      </c>
      <c r="L7" s="169">
        <f t="shared" si="0"/>
        <v>45901</v>
      </c>
      <c r="M7" s="169">
        <f t="shared" si="0"/>
        <v>45931</v>
      </c>
      <c r="N7" s="14" t="s">
        <v>10</v>
      </c>
    </row>
    <row r="8" spans="1:15" x14ac:dyDescent="0.2">
      <c r="A8" s="13">
        <v>23</v>
      </c>
      <c r="B8" s="485">
        <v>68561565</v>
      </c>
      <c r="C8" s="485">
        <v>88045090</v>
      </c>
      <c r="D8" s="485">
        <v>84091990</v>
      </c>
      <c r="E8" s="485">
        <v>72855060</v>
      </c>
      <c r="F8" s="485">
        <v>65707108</v>
      </c>
      <c r="G8" s="485">
        <v>45647376</v>
      </c>
      <c r="H8" s="485">
        <v>27871265</v>
      </c>
      <c r="I8" s="485">
        <v>19273637</v>
      </c>
      <c r="J8" s="485">
        <v>14492879</v>
      </c>
      <c r="K8" s="485">
        <v>14574848</v>
      </c>
      <c r="L8" s="485">
        <v>19979616</v>
      </c>
      <c r="M8" s="485">
        <v>42276981</v>
      </c>
      <c r="N8" s="170">
        <f>SUM(B8:M8)</f>
        <v>563377415</v>
      </c>
      <c r="O8" s="18"/>
    </row>
    <row r="9" spans="1:15" x14ac:dyDescent="0.2">
      <c r="A9" s="13">
        <v>16</v>
      </c>
      <c r="B9" s="485">
        <v>513</v>
      </c>
      <c r="C9" s="485">
        <v>513</v>
      </c>
      <c r="D9" s="485">
        <v>513</v>
      </c>
      <c r="E9" s="485">
        <v>513</v>
      </c>
      <c r="F9" s="485">
        <v>513</v>
      </c>
      <c r="G9" s="485">
        <v>513</v>
      </c>
      <c r="H9" s="485">
        <v>513</v>
      </c>
      <c r="I9" s="485">
        <v>513</v>
      </c>
      <c r="J9" s="485">
        <v>513</v>
      </c>
      <c r="K9" s="485">
        <v>513</v>
      </c>
      <c r="L9" s="485">
        <v>513</v>
      </c>
      <c r="M9" s="485">
        <v>513</v>
      </c>
      <c r="N9" s="170">
        <f t="shared" ref="N9:N14" si="1">SUM(B9:M9)</f>
        <v>6156</v>
      </c>
      <c r="O9" s="18"/>
    </row>
    <row r="10" spans="1:15" x14ac:dyDescent="0.2">
      <c r="A10" s="13">
        <v>31</v>
      </c>
      <c r="B10" s="485">
        <v>28059624</v>
      </c>
      <c r="C10" s="485">
        <v>34226937</v>
      </c>
      <c r="D10" s="485">
        <v>29692885</v>
      </c>
      <c r="E10" s="485">
        <v>26316395</v>
      </c>
      <c r="F10" s="485">
        <v>23569963</v>
      </c>
      <c r="G10" s="485">
        <v>16996414</v>
      </c>
      <c r="H10" s="485">
        <v>12050268</v>
      </c>
      <c r="I10" s="485">
        <v>9905036</v>
      </c>
      <c r="J10" s="485">
        <v>8713537</v>
      </c>
      <c r="K10" s="485">
        <v>9689232</v>
      </c>
      <c r="L10" s="485">
        <v>11580729</v>
      </c>
      <c r="M10" s="485">
        <v>19315268</v>
      </c>
      <c r="N10" s="170">
        <f t="shared" si="1"/>
        <v>230116288</v>
      </c>
      <c r="O10" s="18"/>
    </row>
    <row r="11" spans="1:15" x14ac:dyDescent="0.2">
      <c r="A11" s="13">
        <v>41</v>
      </c>
      <c r="B11" s="485">
        <v>7645788</v>
      </c>
      <c r="C11" s="485">
        <v>8339839</v>
      </c>
      <c r="D11" s="485">
        <v>7128146</v>
      </c>
      <c r="E11" s="485">
        <v>6663689</v>
      </c>
      <c r="F11" s="485">
        <v>6195978</v>
      </c>
      <c r="G11" s="485">
        <v>4825720</v>
      </c>
      <c r="H11" s="485">
        <v>3787419</v>
      </c>
      <c r="I11" s="485">
        <v>3273804</v>
      </c>
      <c r="J11" s="485">
        <v>2790751</v>
      </c>
      <c r="K11" s="485">
        <v>3064107</v>
      </c>
      <c r="L11" s="485">
        <v>3691483</v>
      </c>
      <c r="M11" s="485">
        <v>5652301</v>
      </c>
      <c r="N11" s="170">
        <f t="shared" si="1"/>
        <v>63059025</v>
      </c>
      <c r="O11" s="18"/>
    </row>
    <row r="12" spans="1:15" x14ac:dyDescent="0.2">
      <c r="A12" s="13">
        <v>85</v>
      </c>
      <c r="B12" s="485">
        <v>1521921</v>
      </c>
      <c r="C12" s="485">
        <v>1894548</v>
      </c>
      <c r="D12" s="485">
        <v>1910561</v>
      </c>
      <c r="E12" s="485">
        <v>1650567</v>
      </c>
      <c r="F12" s="485">
        <v>1719109</v>
      </c>
      <c r="G12" s="485">
        <v>1552464</v>
      </c>
      <c r="H12" s="485">
        <v>1422984</v>
      </c>
      <c r="I12" s="485">
        <v>1209166</v>
      </c>
      <c r="J12" s="485">
        <v>1112660</v>
      </c>
      <c r="K12" s="485">
        <v>1070071</v>
      </c>
      <c r="L12" s="485">
        <v>1005779</v>
      </c>
      <c r="M12" s="485">
        <v>1463922</v>
      </c>
      <c r="N12" s="170">
        <f t="shared" si="1"/>
        <v>17533752</v>
      </c>
      <c r="O12" s="18"/>
    </row>
    <row r="13" spans="1:15" x14ac:dyDescent="0.2">
      <c r="A13" s="13">
        <v>86</v>
      </c>
      <c r="B13" s="485">
        <v>470457</v>
      </c>
      <c r="C13" s="485">
        <v>751774</v>
      </c>
      <c r="D13" s="485">
        <v>800487</v>
      </c>
      <c r="E13" s="485">
        <v>670382</v>
      </c>
      <c r="F13" s="485">
        <v>676505</v>
      </c>
      <c r="G13" s="485">
        <v>514139</v>
      </c>
      <c r="H13" s="485">
        <v>381780</v>
      </c>
      <c r="I13" s="485">
        <v>224267</v>
      </c>
      <c r="J13" s="485">
        <v>109878</v>
      </c>
      <c r="K13" s="485">
        <v>44384</v>
      </c>
      <c r="L13" s="485">
        <v>69259</v>
      </c>
      <c r="M13" s="485">
        <v>294326</v>
      </c>
      <c r="N13" s="170">
        <f t="shared" si="1"/>
        <v>5007638</v>
      </c>
      <c r="O13" s="18"/>
    </row>
    <row r="14" spans="1:15" x14ac:dyDescent="0.2">
      <c r="A14" s="5">
        <v>87</v>
      </c>
      <c r="B14" s="485">
        <v>1765043</v>
      </c>
      <c r="C14" s="485">
        <v>2187646</v>
      </c>
      <c r="D14" s="485">
        <v>2060563</v>
      </c>
      <c r="E14" s="485">
        <v>1710298</v>
      </c>
      <c r="F14" s="485">
        <v>1713137</v>
      </c>
      <c r="G14" s="485">
        <v>1452440</v>
      </c>
      <c r="H14" s="485">
        <v>1346088</v>
      </c>
      <c r="I14" s="485">
        <v>1193038</v>
      </c>
      <c r="J14" s="485">
        <v>1170945</v>
      </c>
      <c r="K14" s="485">
        <v>1098169</v>
      </c>
      <c r="L14" s="485">
        <v>1005515</v>
      </c>
      <c r="M14" s="485">
        <v>1783820</v>
      </c>
      <c r="N14" s="170">
        <f t="shared" si="1"/>
        <v>18486702</v>
      </c>
      <c r="O14" s="18"/>
    </row>
    <row r="15" spans="1:15" x14ac:dyDescent="0.2">
      <c r="A15" s="4" t="s">
        <v>0</v>
      </c>
      <c r="B15" s="171">
        <f t="shared" ref="B15:N15" si="2">SUM(B8:B14)</f>
        <v>108024911</v>
      </c>
      <c r="C15" s="171">
        <f t="shared" si="2"/>
        <v>135446347</v>
      </c>
      <c r="D15" s="171">
        <f t="shared" si="2"/>
        <v>125685145</v>
      </c>
      <c r="E15" s="171">
        <f t="shared" si="2"/>
        <v>109866904</v>
      </c>
      <c r="F15" s="171">
        <f t="shared" si="2"/>
        <v>99582313</v>
      </c>
      <c r="G15" s="171">
        <f t="shared" si="2"/>
        <v>70989066</v>
      </c>
      <c r="H15" s="171">
        <f t="shared" si="2"/>
        <v>46860317</v>
      </c>
      <c r="I15" s="171">
        <f t="shared" si="2"/>
        <v>35079461</v>
      </c>
      <c r="J15" s="171">
        <f t="shared" si="2"/>
        <v>28391163</v>
      </c>
      <c r="K15" s="171">
        <f t="shared" si="2"/>
        <v>29541324</v>
      </c>
      <c r="L15" s="171">
        <f t="shared" si="2"/>
        <v>37332894</v>
      </c>
      <c r="M15" s="171">
        <f t="shared" si="2"/>
        <v>70787131</v>
      </c>
      <c r="N15" s="171">
        <f t="shared" si="2"/>
        <v>897586976</v>
      </c>
      <c r="O15" s="18"/>
    </row>
    <row r="16" spans="1:15" x14ac:dyDescent="0.2">
      <c r="A16" s="56" t="s">
        <v>79</v>
      </c>
      <c r="B16" s="172">
        <v>0</v>
      </c>
      <c r="C16" s="172">
        <v>0</v>
      </c>
      <c r="D16" s="172">
        <v>0</v>
      </c>
      <c r="E16" s="172">
        <v>0</v>
      </c>
      <c r="F16" s="172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  <c r="O16" s="18"/>
    </row>
    <row r="17" spans="1:14" s="12" customFormat="1" x14ac:dyDescent="0.2">
      <c r="A17" s="77"/>
      <c r="E17" s="20"/>
      <c r="F17" s="20"/>
      <c r="G17" s="20"/>
      <c r="H17" s="20"/>
      <c r="I17" s="20"/>
      <c r="J17" s="20"/>
      <c r="K17" s="20"/>
      <c r="L17" s="20"/>
      <c r="M17" s="20"/>
    </row>
    <row r="18" spans="1:14" s="12" customFormat="1" x14ac:dyDescent="0.2">
      <c r="A18" s="17" t="s">
        <v>157</v>
      </c>
      <c r="B18" s="4"/>
      <c r="C18" s="4"/>
      <c r="D18" s="4"/>
      <c r="E18" s="4"/>
      <c r="F18" s="4"/>
      <c r="G18" s="17"/>
      <c r="H18" s="17"/>
      <c r="I18" s="4"/>
      <c r="J18" s="4"/>
      <c r="K18" s="4"/>
      <c r="L18" s="4"/>
      <c r="M18" s="4"/>
      <c r="N18" s="168" t="str">
        <f>N6</f>
        <v>Nov. 2024 - Oct. 2025</v>
      </c>
    </row>
    <row r="19" spans="1:14" s="12" customFormat="1" x14ac:dyDescent="0.2">
      <c r="A19" s="14" t="s">
        <v>36</v>
      </c>
      <c r="B19" s="169">
        <f>B7</f>
        <v>45597</v>
      </c>
      <c r="C19" s="169">
        <f t="shared" ref="C19" si="3">EDATE(B19,1)</f>
        <v>45627</v>
      </c>
      <c r="D19" s="169">
        <f t="shared" ref="D19" si="4">EDATE(C19,1)</f>
        <v>45658</v>
      </c>
      <c r="E19" s="169">
        <f t="shared" ref="E19" si="5">EDATE(D19,1)</f>
        <v>45689</v>
      </c>
      <c r="F19" s="169">
        <f t="shared" ref="F19" si="6">EDATE(E19,1)</f>
        <v>45717</v>
      </c>
      <c r="G19" s="169">
        <f t="shared" ref="G19" si="7">EDATE(F19,1)</f>
        <v>45748</v>
      </c>
      <c r="H19" s="169">
        <f t="shared" ref="H19" si="8">EDATE(G19,1)</f>
        <v>45778</v>
      </c>
      <c r="I19" s="169">
        <f t="shared" ref="I19" si="9">EDATE(H19,1)</f>
        <v>45809</v>
      </c>
      <c r="J19" s="169">
        <f t="shared" ref="J19" si="10">EDATE(I19,1)</f>
        <v>45839</v>
      </c>
      <c r="K19" s="169">
        <f t="shared" ref="K19" si="11">EDATE(J19,1)</f>
        <v>45870</v>
      </c>
      <c r="L19" s="169">
        <f t="shared" ref="L19" si="12">EDATE(K19,1)</f>
        <v>45901</v>
      </c>
      <c r="M19" s="169">
        <f t="shared" ref="M19" si="13">EDATE(L19,1)</f>
        <v>45931</v>
      </c>
      <c r="N19" s="14" t="s">
        <v>10</v>
      </c>
    </row>
    <row r="20" spans="1:14" s="12" customFormat="1" x14ac:dyDescent="0.2">
      <c r="A20" s="13">
        <v>23</v>
      </c>
      <c r="B20" s="485">
        <v>0</v>
      </c>
      <c r="C20" s="485">
        <v>0</v>
      </c>
      <c r="D20" s="485">
        <v>0</v>
      </c>
      <c r="E20" s="485">
        <v>0</v>
      </c>
      <c r="F20" s="485">
        <v>0</v>
      </c>
      <c r="G20" s="485">
        <v>0</v>
      </c>
      <c r="H20" s="485">
        <v>0</v>
      </c>
      <c r="I20" s="485">
        <v>0</v>
      </c>
      <c r="J20" s="485">
        <v>0</v>
      </c>
      <c r="K20" s="485">
        <v>0</v>
      </c>
      <c r="L20" s="485">
        <v>0</v>
      </c>
      <c r="M20" s="485">
        <v>0</v>
      </c>
      <c r="N20" s="170">
        <f>SUM(B20:M20)</f>
        <v>0</v>
      </c>
    </row>
    <row r="21" spans="1:14" s="12" customFormat="1" x14ac:dyDescent="0.2">
      <c r="A21" s="13">
        <v>16</v>
      </c>
      <c r="B21" s="485">
        <v>0</v>
      </c>
      <c r="C21" s="485">
        <v>0</v>
      </c>
      <c r="D21" s="485">
        <v>0</v>
      </c>
      <c r="E21" s="485">
        <v>0</v>
      </c>
      <c r="F21" s="485">
        <v>0</v>
      </c>
      <c r="G21" s="485">
        <v>0</v>
      </c>
      <c r="H21" s="485">
        <v>0</v>
      </c>
      <c r="I21" s="485">
        <v>0</v>
      </c>
      <c r="J21" s="485">
        <v>0</v>
      </c>
      <c r="K21" s="485">
        <v>0</v>
      </c>
      <c r="L21" s="485">
        <v>0</v>
      </c>
      <c r="M21" s="485">
        <v>0</v>
      </c>
      <c r="N21" s="170">
        <f t="shared" ref="N21:N26" si="14">SUM(B21:M21)</f>
        <v>0</v>
      </c>
    </row>
    <row r="22" spans="1:14" s="12" customFormat="1" x14ac:dyDescent="0.2">
      <c r="A22" s="13">
        <v>31</v>
      </c>
      <c r="B22" s="485">
        <v>0</v>
      </c>
      <c r="C22" s="485">
        <v>0</v>
      </c>
      <c r="D22" s="485">
        <v>0</v>
      </c>
      <c r="E22" s="485">
        <v>0</v>
      </c>
      <c r="F22" s="485">
        <v>0</v>
      </c>
      <c r="G22" s="485">
        <v>0</v>
      </c>
      <c r="H22" s="485">
        <v>0</v>
      </c>
      <c r="I22" s="485">
        <v>0</v>
      </c>
      <c r="J22" s="485">
        <v>0</v>
      </c>
      <c r="K22" s="485">
        <v>0</v>
      </c>
      <c r="L22" s="485">
        <v>0</v>
      </c>
      <c r="M22" s="485">
        <v>0</v>
      </c>
      <c r="N22" s="170">
        <f t="shared" si="14"/>
        <v>0</v>
      </c>
    </row>
    <row r="23" spans="1:14" s="12" customFormat="1" x14ac:dyDescent="0.2">
      <c r="A23" s="13">
        <v>41</v>
      </c>
      <c r="B23" s="485">
        <v>434244</v>
      </c>
      <c r="C23" s="485">
        <v>434244</v>
      </c>
      <c r="D23" s="485">
        <v>434244</v>
      </c>
      <c r="E23" s="485">
        <v>434244</v>
      </c>
      <c r="F23" s="485">
        <v>434244</v>
      </c>
      <c r="G23" s="485">
        <v>434244</v>
      </c>
      <c r="H23" s="485">
        <v>434244</v>
      </c>
      <c r="I23" s="485">
        <v>434244</v>
      </c>
      <c r="J23" s="485">
        <v>434244</v>
      </c>
      <c r="K23" s="485">
        <v>434244</v>
      </c>
      <c r="L23" s="485">
        <v>434244</v>
      </c>
      <c r="M23" s="485">
        <v>434244</v>
      </c>
      <c r="N23" s="170">
        <f t="shared" si="14"/>
        <v>5210928</v>
      </c>
    </row>
    <row r="24" spans="1:14" s="12" customFormat="1" x14ac:dyDescent="0.2">
      <c r="A24" s="13">
        <v>85</v>
      </c>
      <c r="B24" s="485">
        <v>11785</v>
      </c>
      <c r="C24" s="485">
        <v>11785</v>
      </c>
      <c r="D24" s="485">
        <v>11785</v>
      </c>
      <c r="E24" s="485">
        <v>11785</v>
      </c>
      <c r="F24" s="485">
        <v>11785</v>
      </c>
      <c r="G24" s="485">
        <v>11785</v>
      </c>
      <c r="H24" s="485">
        <v>11785</v>
      </c>
      <c r="I24" s="485">
        <v>11785</v>
      </c>
      <c r="J24" s="485">
        <v>11785</v>
      </c>
      <c r="K24" s="485">
        <v>11785</v>
      </c>
      <c r="L24" s="485">
        <v>11785</v>
      </c>
      <c r="M24" s="485">
        <v>11785</v>
      </c>
      <c r="N24" s="170">
        <f t="shared" si="14"/>
        <v>141420</v>
      </c>
    </row>
    <row r="25" spans="1:14" s="12" customFormat="1" x14ac:dyDescent="0.2">
      <c r="A25" s="13">
        <v>86</v>
      </c>
      <c r="B25" s="485">
        <v>2657</v>
      </c>
      <c r="C25" s="485">
        <v>2657</v>
      </c>
      <c r="D25" s="485">
        <v>2657</v>
      </c>
      <c r="E25" s="485">
        <v>2657</v>
      </c>
      <c r="F25" s="485">
        <v>2657</v>
      </c>
      <c r="G25" s="485">
        <v>2657</v>
      </c>
      <c r="H25" s="485">
        <v>2657</v>
      </c>
      <c r="I25" s="485">
        <v>2657</v>
      </c>
      <c r="J25" s="485">
        <v>2657</v>
      </c>
      <c r="K25" s="485">
        <v>2657</v>
      </c>
      <c r="L25" s="485">
        <v>2657</v>
      </c>
      <c r="M25" s="485">
        <v>2657</v>
      </c>
      <c r="N25" s="170">
        <f t="shared" si="14"/>
        <v>31884</v>
      </c>
    </row>
    <row r="26" spans="1:14" s="12" customFormat="1" x14ac:dyDescent="0.2">
      <c r="A26" s="5">
        <v>87</v>
      </c>
      <c r="B26" s="485">
        <v>0</v>
      </c>
      <c r="C26" s="485">
        <v>0</v>
      </c>
      <c r="D26" s="485">
        <v>0</v>
      </c>
      <c r="E26" s="485">
        <v>0</v>
      </c>
      <c r="F26" s="485">
        <v>0</v>
      </c>
      <c r="G26" s="485">
        <v>0</v>
      </c>
      <c r="H26" s="485">
        <v>0</v>
      </c>
      <c r="I26" s="485">
        <v>0</v>
      </c>
      <c r="J26" s="485">
        <v>0</v>
      </c>
      <c r="K26" s="485">
        <v>0</v>
      </c>
      <c r="L26" s="485">
        <v>0</v>
      </c>
      <c r="M26" s="485">
        <v>0</v>
      </c>
      <c r="N26" s="170">
        <f t="shared" si="14"/>
        <v>0</v>
      </c>
    </row>
    <row r="27" spans="1:14" s="12" customFormat="1" x14ac:dyDescent="0.2">
      <c r="A27" s="4" t="s">
        <v>10</v>
      </c>
      <c r="B27" s="171">
        <f t="shared" ref="B27:N27" si="15">SUM(B20:B26)</f>
        <v>448686</v>
      </c>
      <c r="C27" s="171">
        <f t="shared" si="15"/>
        <v>448686</v>
      </c>
      <c r="D27" s="171">
        <f t="shared" si="15"/>
        <v>448686</v>
      </c>
      <c r="E27" s="171">
        <f t="shared" si="15"/>
        <v>448686</v>
      </c>
      <c r="F27" s="171">
        <f t="shared" si="15"/>
        <v>448686</v>
      </c>
      <c r="G27" s="171">
        <f t="shared" si="15"/>
        <v>448686</v>
      </c>
      <c r="H27" s="171">
        <f t="shared" si="15"/>
        <v>448686</v>
      </c>
      <c r="I27" s="171">
        <f t="shared" si="15"/>
        <v>448686</v>
      </c>
      <c r="J27" s="171">
        <f t="shared" si="15"/>
        <v>448686</v>
      </c>
      <c r="K27" s="171">
        <f t="shared" si="15"/>
        <v>448686</v>
      </c>
      <c r="L27" s="171">
        <f t="shared" si="15"/>
        <v>448686</v>
      </c>
      <c r="M27" s="171">
        <f t="shared" si="15"/>
        <v>448686</v>
      </c>
      <c r="N27" s="171">
        <f t="shared" si="15"/>
        <v>5384232</v>
      </c>
    </row>
    <row r="28" spans="1:14" s="12" customFormat="1" x14ac:dyDescent="0.2">
      <c r="A28" s="56" t="s">
        <v>79</v>
      </c>
      <c r="B28" s="172">
        <v>0</v>
      </c>
      <c r="C28" s="172">
        <v>0</v>
      </c>
      <c r="D28" s="172">
        <v>0</v>
      </c>
      <c r="E28" s="172">
        <v>0</v>
      </c>
      <c r="F28" s="172">
        <v>0</v>
      </c>
      <c r="G28" s="172">
        <v>0</v>
      </c>
      <c r="H28" s="172">
        <v>0</v>
      </c>
      <c r="I28" s="172">
        <v>0</v>
      </c>
      <c r="J28" s="172">
        <v>0</v>
      </c>
      <c r="K28" s="172">
        <v>0</v>
      </c>
      <c r="L28" s="172">
        <v>0</v>
      </c>
      <c r="M28" s="172">
        <v>0</v>
      </c>
      <c r="N28" s="172">
        <v>0</v>
      </c>
    </row>
    <row r="29" spans="1:14" x14ac:dyDescent="0.2">
      <c r="A29" s="21"/>
    </row>
    <row r="30" spans="1:14" x14ac:dyDescent="0.2">
      <c r="A30" s="17" t="s">
        <v>202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x14ac:dyDescent="0.2">
      <c r="B32" s="17"/>
      <c r="D32" s="30"/>
      <c r="F32" s="19"/>
      <c r="G32" s="19"/>
      <c r="H32" s="19"/>
      <c r="I32" s="19"/>
      <c r="J32" s="19"/>
      <c r="K32" s="19"/>
      <c r="L32" s="19"/>
      <c r="M32" s="19"/>
      <c r="N32" s="19"/>
    </row>
    <row r="33" spans="1:14" x14ac:dyDescent="0.2">
      <c r="A33" s="13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x14ac:dyDescent="0.2">
      <c r="A34" s="13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x14ac:dyDescent="0.2">
      <c r="A35" s="13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x14ac:dyDescent="0.2">
      <c r="A36" s="13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x14ac:dyDescent="0.2">
      <c r="A37" s="13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x14ac:dyDescent="0.2">
      <c r="A38" s="13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x14ac:dyDescent="0.2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1" spans="1:14" x14ac:dyDescent="0.2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x14ac:dyDescent="0.2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</sheetData>
  <phoneticPr fontId="1" type="noConversion"/>
  <printOptions horizontalCentered="1"/>
  <pageMargins left="0.75" right="0.75" top="1" bottom="1" header="0.5" footer="0.5"/>
  <pageSetup scale="64" orientation="landscape" blackAndWhite="1" r:id="rId1"/>
  <headerFooter alignWithMargins="0">
    <oddFooter>&amp;L&amp;F 
&amp;A&amp;RPage# &amp;P of &amp;N</oddFooter>
  </headerFooter>
  <customProperties>
    <customPr name="_pios_id" r:id="rId2"/>
    <customPr name="EpmWorksheetKeyString_GUID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8"/>
  <sheetViews>
    <sheetView topLeftCell="J1" zoomScaleNormal="100" workbookViewId="0">
      <pane ySplit="9" topLeftCell="A73" activePane="bottomLeft" state="frozen"/>
      <selection activeCell="B1" sqref="B1"/>
      <selection pane="bottomLeft" activeCell="O55" sqref="O55"/>
    </sheetView>
  </sheetViews>
  <sheetFormatPr defaultColWidth="8.5703125" defaultRowHeight="11.25" x14ac:dyDescent="0.2"/>
  <cols>
    <col min="1" max="1" width="4.42578125" style="285" customWidth="1"/>
    <col min="2" max="2" width="5" style="398" bestFit="1" customWidth="1"/>
    <col min="3" max="3" width="37.7109375" style="396" bestFit="1" customWidth="1"/>
    <col min="4" max="4" width="20.42578125" style="396" bestFit="1" customWidth="1"/>
    <col min="5" max="5" width="13.140625" style="396" bestFit="1" customWidth="1"/>
    <col min="6" max="6" width="7.42578125" style="396" bestFit="1" customWidth="1"/>
    <col min="7" max="7" width="11.140625" style="396" bestFit="1" customWidth="1"/>
    <col min="8" max="9" width="13.85546875" style="396" bestFit="1" customWidth="1"/>
    <col min="10" max="10" width="5.42578125" style="285" customWidth="1"/>
    <col min="11" max="11" width="5" style="398" bestFit="1" customWidth="1"/>
    <col min="12" max="12" width="37.7109375" style="396" bestFit="1" customWidth="1"/>
    <col min="13" max="13" width="20.42578125" style="396" bestFit="1" customWidth="1"/>
    <col min="14" max="14" width="13.140625" style="396" bestFit="1" customWidth="1"/>
    <col min="15" max="15" width="7.42578125" style="396" bestFit="1" customWidth="1"/>
    <col min="16" max="16" width="10.5703125" style="396" bestFit="1" customWidth="1"/>
    <col min="17" max="17" width="13.85546875" style="396" bestFit="1" customWidth="1"/>
    <col min="18" max="18" width="13.42578125" style="396" customWidth="1"/>
    <col min="19" max="19" width="6" style="285" customWidth="1"/>
    <col min="20" max="20" width="5" style="399" bestFit="1" customWidth="1"/>
    <col min="21" max="21" width="37.7109375" style="399" bestFit="1" customWidth="1"/>
    <col min="22" max="22" width="12.28515625" style="399" bestFit="1" customWidth="1"/>
    <col min="23" max="23" width="13.42578125" style="399" bestFit="1" customWidth="1"/>
    <col min="24" max="24" width="12.28515625" style="399" bestFit="1" customWidth="1"/>
    <col min="25" max="25" width="10.28515625" style="399" bestFit="1" customWidth="1"/>
    <col min="26" max="27" width="8.5703125" style="285"/>
    <col min="28" max="28" width="10" style="285" bestFit="1" customWidth="1"/>
    <col min="29" max="16384" width="8.5703125" style="285"/>
  </cols>
  <sheetData>
    <row r="1" spans="1:27" ht="12" thickBot="1" x14ac:dyDescent="0.25">
      <c r="B1" s="286"/>
      <c r="C1" s="287"/>
      <c r="D1" s="287"/>
      <c r="E1" s="287"/>
      <c r="F1" s="287"/>
      <c r="G1" s="287"/>
      <c r="H1" s="288"/>
      <c r="I1" s="289">
        <v>2024</v>
      </c>
      <c r="K1" s="286"/>
      <c r="L1" s="287"/>
      <c r="M1" s="287"/>
      <c r="N1" s="287"/>
      <c r="O1" s="287"/>
      <c r="P1" s="287"/>
      <c r="Q1" s="288"/>
      <c r="R1" s="289">
        <v>2023</v>
      </c>
      <c r="T1" s="290"/>
      <c r="U1" s="291"/>
      <c r="V1" s="291"/>
      <c r="W1" s="291"/>
      <c r="X1" s="291"/>
      <c r="Y1" s="292" t="s">
        <v>359</v>
      </c>
    </row>
    <row r="2" spans="1:27" s="324" customFormat="1" ht="13.5" customHeight="1" thickBot="1" x14ac:dyDescent="0.25">
      <c r="B2" s="293" t="s">
        <v>159</v>
      </c>
      <c r="C2" s="294"/>
      <c r="D2" s="294"/>
      <c r="E2" s="294"/>
      <c r="F2" s="294"/>
      <c r="G2" s="294"/>
      <c r="H2" s="294"/>
      <c r="I2" s="295"/>
      <c r="K2" s="544" t="s">
        <v>159</v>
      </c>
      <c r="L2" s="545"/>
      <c r="M2" s="545"/>
      <c r="N2" s="545"/>
      <c r="O2" s="545"/>
      <c r="P2" s="545"/>
      <c r="Q2" s="545"/>
      <c r="R2" s="546"/>
      <c r="T2" s="293" t="s">
        <v>159</v>
      </c>
      <c r="U2" s="294"/>
      <c r="V2" s="294"/>
      <c r="W2" s="294"/>
      <c r="X2" s="294"/>
      <c r="Y2" s="295"/>
    </row>
    <row r="3" spans="1:27" x14ac:dyDescent="0.2">
      <c r="B3" s="296"/>
      <c r="C3" s="297"/>
      <c r="D3" s="297"/>
      <c r="E3" s="297"/>
      <c r="F3" s="297"/>
      <c r="G3" s="298"/>
      <c r="H3" s="299"/>
      <c r="I3" s="289"/>
      <c r="K3" s="296"/>
      <c r="L3" s="297"/>
      <c r="M3" s="297"/>
      <c r="N3" s="297"/>
      <c r="O3" s="297"/>
      <c r="P3" s="298"/>
      <c r="Q3" s="299"/>
      <c r="R3" s="289"/>
      <c r="T3" s="300"/>
      <c r="U3" s="301"/>
      <c r="V3" s="301"/>
      <c r="W3" s="301"/>
      <c r="X3" s="301"/>
      <c r="Y3" s="302"/>
    </row>
    <row r="4" spans="1:27" x14ac:dyDescent="0.2">
      <c r="B4" s="550" t="s">
        <v>160</v>
      </c>
      <c r="C4" s="551"/>
      <c r="D4" s="551"/>
      <c r="E4" s="551"/>
      <c r="F4" s="551"/>
      <c r="G4" s="551"/>
      <c r="H4" s="551"/>
      <c r="I4" s="552"/>
      <c r="K4" s="550" t="s">
        <v>160</v>
      </c>
      <c r="L4" s="551"/>
      <c r="M4" s="551"/>
      <c r="N4" s="551"/>
      <c r="O4" s="551"/>
      <c r="P4" s="551"/>
      <c r="Q4" s="551"/>
      <c r="R4" s="552"/>
      <c r="T4" s="553" t="s">
        <v>160</v>
      </c>
      <c r="U4" s="554"/>
      <c r="V4" s="554"/>
      <c r="W4" s="554"/>
      <c r="X4" s="554"/>
      <c r="Y4" s="555"/>
    </row>
    <row r="5" spans="1:27" x14ac:dyDescent="0.2">
      <c r="B5" s="303"/>
      <c r="C5" s="304"/>
      <c r="D5" s="304"/>
      <c r="E5" s="305"/>
      <c r="F5" s="305"/>
      <c r="G5" s="306"/>
      <c r="H5" s="307"/>
      <c r="I5" s="308"/>
      <c r="K5" s="303"/>
      <c r="L5" s="304"/>
      <c r="M5" s="304"/>
      <c r="N5" s="305"/>
      <c r="O5" s="305"/>
      <c r="P5" s="306"/>
      <c r="Q5" s="307"/>
      <c r="R5" s="308"/>
      <c r="T5" s="300"/>
      <c r="U5" s="301"/>
      <c r="V5" s="301"/>
      <c r="W5" s="301"/>
      <c r="X5" s="301"/>
      <c r="Y5" s="302"/>
    </row>
    <row r="6" spans="1:27" x14ac:dyDescent="0.2">
      <c r="B6" s="556" t="s">
        <v>342</v>
      </c>
      <c r="C6" s="557"/>
      <c r="D6" s="557"/>
      <c r="E6" s="557"/>
      <c r="F6" s="557"/>
      <c r="G6" s="557"/>
      <c r="H6" s="557"/>
      <c r="I6" s="558"/>
      <c r="K6" s="556" t="s">
        <v>353</v>
      </c>
      <c r="L6" s="557"/>
      <c r="M6" s="557"/>
      <c r="N6" s="557"/>
      <c r="O6" s="557"/>
      <c r="P6" s="557"/>
      <c r="Q6" s="557"/>
      <c r="R6" s="558"/>
      <c r="T6" s="547" t="s">
        <v>161</v>
      </c>
      <c r="U6" s="548"/>
      <c r="V6" s="548"/>
      <c r="W6" s="548"/>
      <c r="X6" s="548"/>
      <c r="Y6" s="549"/>
    </row>
    <row r="7" spans="1:27" x14ac:dyDescent="0.2">
      <c r="B7" s="296"/>
      <c r="C7" s="297"/>
      <c r="D7" s="297"/>
      <c r="E7" s="309"/>
      <c r="F7" s="297"/>
      <c r="G7" s="310"/>
      <c r="H7" s="311"/>
      <c r="I7" s="312"/>
      <c r="K7" s="296"/>
      <c r="L7" s="297"/>
      <c r="M7" s="297"/>
      <c r="N7" s="309"/>
      <c r="O7" s="297"/>
      <c r="P7" s="310"/>
      <c r="Q7" s="311"/>
      <c r="R7" s="312"/>
      <c r="T7" s="547"/>
      <c r="U7" s="548"/>
      <c r="V7" s="548"/>
      <c r="W7" s="548"/>
      <c r="X7" s="548"/>
      <c r="Y7" s="549"/>
    </row>
    <row r="8" spans="1:27" ht="22.5" x14ac:dyDescent="0.2">
      <c r="B8" s="313" t="s">
        <v>13</v>
      </c>
      <c r="C8" s="314" t="s">
        <v>162</v>
      </c>
      <c r="D8" s="315" t="s">
        <v>163</v>
      </c>
      <c r="E8" s="316" t="s">
        <v>37</v>
      </c>
      <c r="F8" s="316" t="s">
        <v>83</v>
      </c>
      <c r="G8" s="317" t="s">
        <v>164</v>
      </c>
      <c r="H8" s="315" t="s">
        <v>165</v>
      </c>
      <c r="I8" s="318" t="s">
        <v>166</v>
      </c>
      <c r="J8" s="319"/>
      <c r="K8" s="313" t="s">
        <v>13</v>
      </c>
      <c r="L8" s="314" t="s">
        <v>162</v>
      </c>
      <c r="M8" s="315" t="s">
        <v>163</v>
      </c>
      <c r="N8" s="316" t="s">
        <v>37</v>
      </c>
      <c r="O8" s="316" t="s">
        <v>83</v>
      </c>
      <c r="P8" s="317" t="s">
        <v>164</v>
      </c>
      <c r="Q8" s="315" t="s">
        <v>165</v>
      </c>
      <c r="R8" s="318" t="s">
        <v>166</v>
      </c>
      <c r="T8" s="320" t="s">
        <v>13</v>
      </c>
      <c r="U8" s="321" t="s">
        <v>162</v>
      </c>
      <c r="V8" s="322" t="s">
        <v>43</v>
      </c>
      <c r="W8" s="322" t="s">
        <v>167</v>
      </c>
      <c r="X8" s="322" t="s">
        <v>168</v>
      </c>
      <c r="Y8" s="323" t="s">
        <v>169</v>
      </c>
    </row>
    <row r="9" spans="1:27" x14ac:dyDescent="0.2">
      <c r="A9" s="324"/>
      <c r="B9" s="296"/>
      <c r="C9" s="309" t="s">
        <v>4</v>
      </c>
      <c r="D9" s="309" t="s">
        <v>5</v>
      </c>
      <c r="E9" s="325" t="s">
        <v>170</v>
      </c>
      <c r="F9" s="309" t="s">
        <v>6</v>
      </c>
      <c r="G9" s="310" t="s">
        <v>171</v>
      </c>
      <c r="H9" s="311" t="s">
        <v>18</v>
      </c>
      <c r="I9" s="326" t="s">
        <v>16</v>
      </c>
      <c r="K9" s="296"/>
      <c r="L9" s="309" t="s">
        <v>4</v>
      </c>
      <c r="M9" s="309" t="s">
        <v>5</v>
      </c>
      <c r="N9" s="325" t="s">
        <v>170</v>
      </c>
      <c r="O9" s="309" t="s">
        <v>6</v>
      </c>
      <c r="P9" s="310" t="s">
        <v>171</v>
      </c>
      <c r="Q9" s="311" t="s">
        <v>18</v>
      </c>
      <c r="R9" s="326" t="s">
        <v>16</v>
      </c>
      <c r="T9" s="327"/>
      <c r="U9" s="328" t="s">
        <v>4</v>
      </c>
      <c r="V9" s="329" t="s">
        <v>5</v>
      </c>
      <c r="W9" s="329" t="s">
        <v>170</v>
      </c>
      <c r="X9" s="330" t="s">
        <v>172</v>
      </c>
      <c r="Y9" s="331" t="s">
        <v>171</v>
      </c>
    </row>
    <row r="10" spans="1:27" x14ac:dyDescent="0.2">
      <c r="A10" s="324"/>
      <c r="B10" s="296">
        <v>1</v>
      </c>
      <c r="C10" s="332" t="s">
        <v>117</v>
      </c>
      <c r="D10" s="297"/>
      <c r="E10" s="299"/>
      <c r="F10" s="297"/>
      <c r="G10" s="333"/>
      <c r="H10" s="299"/>
      <c r="I10" s="334"/>
      <c r="K10" s="296">
        <v>1</v>
      </c>
      <c r="L10" s="332" t="s">
        <v>117</v>
      </c>
      <c r="M10" s="297"/>
      <c r="N10" s="299"/>
      <c r="O10" s="297"/>
      <c r="P10" s="333"/>
      <c r="Q10" s="299"/>
      <c r="R10" s="334"/>
      <c r="T10" s="296">
        <v>1</v>
      </c>
      <c r="U10" s="332" t="s">
        <v>117</v>
      </c>
      <c r="V10" s="301"/>
      <c r="W10" s="301"/>
      <c r="X10" s="301"/>
      <c r="Y10" s="335"/>
    </row>
    <row r="11" spans="1:27" x14ac:dyDescent="0.2">
      <c r="A11" s="324"/>
      <c r="B11" s="296">
        <v>2</v>
      </c>
      <c r="C11" s="332"/>
      <c r="D11" s="297"/>
      <c r="E11" s="299"/>
      <c r="F11" s="297"/>
      <c r="G11" s="333"/>
      <c r="H11" s="299"/>
      <c r="I11" s="334"/>
      <c r="K11" s="296">
        <v>2</v>
      </c>
      <c r="L11" s="332"/>
      <c r="M11" s="297"/>
      <c r="N11" s="299"/>
      <c r="O11" s="297"/>
      <c r="P11" s="333"/>
      <c r="Q11" s="299"/>
      <c r="R11" s="334"/>
      <c r="T11" s="296">
        <v>2</v>
      </c>
      <c r="U11" s="332"/>
      <c r="V11" s="301"/>
      <c r="W11" s="301"/>
      <c r="X11" s="301"/>
      <c r="Y11" s="335"/>
    </row>
    <row r="12" spans="1:27" x14ac:dyDescent="0.2">
      <c r="A12" s="324"/>
      <c r="B12" s="296">
        <v>3</v>
      </c>
      <c r="C12" s="332" t="s">
        <v>118</v>
      </c>
      <c r="D12" s="297"/>
      <c r="E12" s="299"/>
      <c r="F12" s="297"/>
      <c r="G12" s="333"/>
      <c r="H12" s="299"/>
      <c r="I12" s="334"/>
      <c r="K12" s="296">
        <v>3</v>
      </c>
      <c r="L12" s="332" t="s">
        <v>118</v>
      </c>
      <c r="M12" s="297"/>
      <c r="N12" s="299"/>
      <c r="O12" s="297"/>
      <c r="P12" s="333"/>
      <c r="Q12" s="299"/>
      <c r="R12" s="334"/>
      <c r="T12" s="296">
        <v>3</v>
      </c>
      <c r="U12" s="332" t="s">
        <v>118</v>
      </c>
      <c r="V12" s="301"/>
      <c r="W12" s="301"/>
      <c r="X12" s="301"/>
      <c r="Y12" s="335"/>
      <c r="AA12" s="336"/>
    </row>
    <row r="13" spans="1:27" x14ac:dyDescent="0.2">
      <c r="A13" s="324"/>
      <c r="B13" s="296">
        <v>4</v>
      </c>
      <c r="C13" s="332"/>
      <c r="D13" s="297"/>
      <c r="E13" s="299"/>
      <c r="F13" s="297"/>
      <c r="G13" s="333"/>
      <c r="H13" s="299"/>
      <c r="I13" s="334"/>
      <c r="K13" s="296">
        <v>4</v>
      </c>
      <c r="L13" s="332"/>
      <c r="M13" s="297"/>
      <c r="N13" s="299"/>
      <c r="O13" s="297"/>
      <c r="P13" s="333"/>
      <c r="Q13" s="299"/>
      <c r="R13" s="334"/>
      <c r="T13" s="296">
        <v>4</v>
      </c>
      <c r="U13" s="332"/>
      <c r="V13" s="301"/>
      <c r="W13" s="301"/>
      <c r="X13" s="301"/>
      <c r="Y13" s="335"/>
      <c r="AA13" s="337"/>
    </row>
    <row r="14" spans="1:27" x14ac:dyDescent="0.2">
      <c r="A14" s="324"/>
      <c r="B14" s="296">
        <v>5</v>
      </c>
      <c r="C14" s="332" t="s">
        <v>119</v>
      </c>
      <c r="D14" s="297"/>
      <c r="E14" s="299"/>
      <c r="F14" s="297"/>
      <c r="G14" s="333"/>
      <c r="H14" s="299"/>
      <c r="I14" s="334"/>
      <c r="K14" s="296">
        <v>5</v>
      </c>
      <c r="L14" s="332" t="s">
        <v>119</v>
      </c>
      <c r="M14" s="297"/>
      <c r="N14" s="299"/>
      <c r="O14" s="297"/>
      <c r="P14" s="333"/>
      <c r="Q14" s="299"/>
      <c r="R14" s="334"/>
      <c r="T14" s="296">
        <v>5</v>
      </c>
      <c r="U14" s="332" t="s">
        <v>119</v>
      </c>
      <c r="V14" s="301"/>
      <c r="W14" s="301"/>
      <c r="X14" s="301"/>
      <c r="Y14" s="335"/>
      <c r="AA14" s="337"/>
    </row>
    <row r="15" spans="1:27" s="343" customFormat="1" x14ac:dyDescent="0.2">
      <c r="A15" s="338"/>
      <c r="B15" s="296">
        <v>6</v>
      </c>
      <c r="C15" s="339" t="s">
        <v>120</v>
      </c>
      <c r="D15" s="297" t="s">
        <v>7</v>
      </c>
      <c r="E15" s="403">
        <v>586256</v>
      </c>
      <c r="F15" s="297" t="s">
        <v>3</v>
      </c>
      <c r="G15" s="416">
        <v>0.39787995143927751</v>
      </c>
      <c r="H15" s="428">
        <v>78141935.451680005</v>
      </c>
      <c r="I15" s="342"/>
      <c r="K15" s="296">
        <v>6</v>
      </c>
      <c r="L15" s="339" t="s">
        <v>120</v>
      </c>
      <c r="M15" s="297" t="s">
        <v>7</v>
      </c>
      <c r="N15" s="403">
        <v>587872</v>
      </c>
      <c r="O15" s="297" t="s">
        <v>3</v>
      </c>
      <c r="P15" s="416">
        <v>1.5705764502577917</v>
      </c>
      <c r="Q15" s="428">
        <v>78441222.040800005</v>
      </c>
      <c r="R15" s="342"/>
      <c r="T15" s="296">
        <v>6</v>
      </c>
      <c r="U15" s="339" t="s">
        <v>120</v>
      </c>
      <c r="V15" s="443">
        <v>-299286.5891200006</v>
      </c>
      <c r="W15" s="444"/>
      <c r="X15" s="444"/>
      <c r="Y15" s="445">
        <v>-3.8154248663327967E-3</v>
      </c>
    </row>
    <row r="16" spans="1:27" s="343" customFormat="1" x14ac:dyDescent="0.2">
      <c r="A16" s="338"/>
      <c r="B16" s="296">
        <v>7</v>
      </c>
      <c r="C16" s="344"/>
      <c r="D16" s="345"/>
      <c r="E16" s="404"/>
      <c r="F16" s="347"/>
      <c r="G16" s="417"/>
      <c r="H16" s="429"/>
      <c r="I16" s="334"/>
      <c r="J16" s="285"/>
      <c r="K16" s="296">
        <v>7</v>
      </c>
      <c r="L16" s="344"/>
      <c r="M16" s="345"/>
      <c r="N16" s="404"/>
      <c r="O16" s="347"/>
      <c r="P16" s="417"/>
      <c r="Q16" s="429"/>
      <c r="R16" s="334"/>
      <c r="T16" s="296">
        <v>7</v>
      </c>
      <c r="U16" s="344"/>
      <c r="V16" s="453"/>
      <c r="W16" s="346"/>
      <c r="X16" s="347"/>
      <c r="Y16" s="454"/>
    </row>
    <row r="17" spans="1:25" x14ac:dyDescent="0.2">
      <c r="A17" s="324"/>
      <c r="B17" s="296">
        <v>8</v>
      </c>
      <c r="C17" s="348" t="s">
        <v>39</v>
      </c>
      <c r="D17" s="332"/>
      <c r="E17" s="403"/>
      <c r="F17" s="297"/>
      <c r="G17" s="418"/>
      <c r="H17" s="350">
        <v>69428464.062880009</v>
      </c>
      <c r="I17" s="342"/>
      <c r="J17" s="343"/>
      <c r="K17" s="296">
        <v>8</v>
      </c>
      <c r="L17" s="348" t="s">
        <v>39</v>
      </c>
      <c r="M17" s="332"/>
      <c r="N17" s="403"/>
      <c r="O17" s="297"/>
      <c r="P17" s="418"/>
      <c r="Q17" s="350">
        <v>69704472.884800002</v>
      </c>
      <c r="R17" s="342"/>
      <c r="T17" s="296">
        <v>8</v>
      </c>
      <c r="U17" s="348" t="s">
        <v>39</v>
      </c>
      <c r="V17" s="443">
        <v>-276008.82191999257</v>
      </c>
      <c r="W17" s="444"/>
      <c r="X17" s="444"/>
      <c r="Y17" s="445">
        <v>-3.9597002960792783E-3</v>
      </c>
    </row>
    <row r="18" spans="1:25" x14ac:dyDescent="0.2">
      <c r="A18" s="324"/>
      <c r="B18" s="296">
        <v>9</v>
      </c>
      <c r="C18" s="301"/>
      <c r="D18" s="301"/>
      <c r="E18" s="405"/>
      <c r="F18" s="301"/>
      <c r="G18" s="419"/>
      <c r="H18" s="301"/>
      <c r="I18" s="334"/>
      <c r="K18" s="296">
        <v>9</v>
      </c>
      <c r="L18" s="301"/>
      <c r="M18" s="301"/>
      <c r="N18" s="405"/>
      <c r="O18" s="301"/>
      <c r="P18" s="419"/>
      <c r="Q18" s="301"/>
      <c r="R18" s="334"/>
      <c r="T18" s="296">
        <v>9</v>
      </c>
      <c r="U18" s="301"/>
      <c r="V18" s="444"/>
      <c r="W18" s="444"/>
      <c r="X18" s="444"/>
      <c r="Y18" s="445"/>
    </row>
    <row r="19" spans="1:25" x14ac:dyDescent="0.2">
      <c r="A19" s="324"/>
      <c r="B19" s="296">
        <v>10</v>
      </c>
      <c r="C19" s="332" t="s">
        <v>121</v>
      </c>
      <c r="D19" s="332"/>
      <c r="E19" s="403"/>
      <c r="F19" s="297"/>
      <c r="G19" s="418"/>
      <c r="H19" s="350"/>
      <c r="I19" s="334"/>
      <c r="K19" s="296">
        <v>10</v>
      </c>
      <c r="L19" s="332" t="s">
        <v>121</v>
      </c>
      <c r="M19" s="332"/>
      <c r="N19" s="403"/>
      <c r="O19" s="297"/>
      <c r="P19" s="418"/>
      <c r="Q19" s="350"/>
      <c r="R19" s="334"/>
      <c r="T19" s="296">
        <v>10</v>
      </c>
      <c r="U19" s="332" t="s">
        <v>121</v>
      </c>
      <c r="V19" s="444"/>
      <c r="W19" s="444"/>
      <c r="X19" s="444"/>
      <c r="Y19" s="445"/>
    </row>
    <row r="20" spans="1:25" x14ac:dyDescent="0.2">
      <c r="A20" s="324"/>
      <c r="B20" s="296">
        <v>11</v>
      </c>
      <c r="C20" s="339" t="s">
        <v>121</v>
      </c>
      <c r="D20" s="297" t="s">
        <v>2</v>
      </c>
      <c r="E20" s="403">
        <v>2649</v>
      </c>
      <c r="F20" s="297" t="s">
        <v>3</v>
      </c>
      <c r="G20" s="416">
        <v>4.3947871063707511E-2</v>
      </c>
      <c r="H20" s="428">
        <v>39000</v>
      </c>
      <c r="I20" s="334"/>
      <c r="K20" s="296">
        <v>11</v>
      </c>
      <c r="L20" s="339" t="s">
        <v>121</v>
      </c>
      <c r="M20" s="297" t="s">
        <v>2</v>
      </c>
      <c r="N20" s="403">
        <v>2649</v>
      </c>
      <c r="O20" s="297" t="s">
        <v>3</v>
      </c>
      <c r="P20" s="416">
        <v>0.16002757398197842</v>
      </c>
      <c r="Q20" s="428">
        <v>39000</v>
      </c>
      <c r="R20" s="334"/>
      <c r="T20" s="296">
        <v>11</v>
      </c>
      <c r="U20" s="339" t="s">
        <v>121</v>
      </c>
      <c r="V20" s="443">
        <v>0</v>
      </c>
      <c r="W20" s="444"/>
      <c r="X20" s="444"/>
      <c r="Y20" s="445">
        <v>0</v>
      </c>
    </row>
    <row r="21" spans="1:25" x14ac:dyDescent="0.2">
      <c r="A21" s="324"/>
      <c r="B21" s="296">
        <v>12</v>
      </c>
      <c r="C21" s="348" t="s">
        <v>39</v>
      </c>
      <c r="D21" s="332"/>
      <c r="E21" s="403"/>
      <c r="F21" s="297"/>
      <c r="G21" s="418"/>
      <c r="H21" s="350">
        <v>39000</v>
      </c>
      <c r="I21" s="334"/>
      <c r="K21" s="296">
        <v>12</v>
      </c>
      <c r="L21" s="348" t="s">
        <v>39</v>
      </c>
      <c r="M21" s="332"/>
      <c r="N21" s="403"/>
      <c r="O21" s="297"/>
      <c r="P21" s="418"/>
      <c r="Q21" s="350">
        <v>39000</v>
      </c>
      <c r="R21" s="334"/>
      <c r="T21" s="296">
        <v>12</v>
      </c>
      <c r="U21" s="348" t="s">
        <v>39</v>
      </c>
      <c r="V21" s="443">
        <v>0</v>
      </c>
      <c r="W21" s="444"/>
      <c r="X21" s="444"/>
      <c r="Y21" s="445">
        <v>0</v>
      </c>
    </row>
    <row r="22" spans="1:25" x14ac:dyDescent="0.2">
      <c r="A22" s="324"/>
      <c r="B22" s="296">
        <v>13</v>
      </c>
      <c r="C22" s="348"/>
      <c r="D22" s="332"/>
      <c r="E22" s="406"/>
      <c r="F22" s="297"/>
      <c r="G22" s="418"/>
      <c r="H22" s="350"/>
      <c r="I22" s="342"/>
      <c r="J22" s="343"/>
      <c r="K22" s="296">
        <v>13</v>
      </c>
      <c r="L22" s="348"/>
      <c r="M22" s="332"/>
      <c r="N22" s="406"/>
      <c r="O22" s="297"/>
      <c r="P22" s="418"/>
      <c r="Q22" s="350"/>
      <c r="R22" s="342"/>
      <c r="T22" s="296">
        <v>13</v>
      </c>
      <c r="U22" s="348"/>
      <c r="V22" s="444"/>
      <c r="W22" s="444"/>
      <c r="X22" s="444"/>
      <c r="Y22" s="445"/>
    </row>
    <row r="23" spans="1:25" x14ac:dyDescent="0.2">
      <c r="A23" s="324"/>
      <c r="B23" s="296">
        <v>14</v>
      </c>
      <c r="C23" s="332" t="s">
        <v>122</v>
      </c>
      <c r="D23" s="332"/>
      <c r="E23" s="403"/>
      <c r="F23" s="297"/>
      <c r="G23" s="418"/>
      <c r="H23" s="350"/>
      <c r="I23" s="342"/>
      <c r="J23" s="343"/>
      <c r="K23" s="296">
        <v>14</v>
      </c>
      <c r="L23" s="332" t="s">
        <v>122</v>
      </c>
      <c r="M23" s="332"/>
      <c r="N23" s="403"/>
      <c r="O23" s="297"/>
      <c r="P23" s="418"/>
      <c r="Q23" s="350"/>
      <c r="R23" s="342"/>
      <c r="T23" s="296">
        <v>14</v>
      </c>
      <c r="U23" s="332" t="s">
        <v>122</v>
      </c>
      <c r="V23" s="444"/>
      <c r="W23" s="444"/>
      <c r="X23" s="444"/>
      <c r="Y23" s="445"/>
    </row>
    <row r="24" spans="1:25" x14ac:dyDescent="0.2">
      <c r="A24" s="324"/>
      <c r="B24" s="296">
        <v>15</v>
      </c>
      <c r="C24" s="351" t="s">
        <v>123</v>
      </c>
      <c r="D24" s="297" t="s">
        <v>2</v>
      </c>
      <c r="E24" s="407">
        <v>77014</v>
      </c>
      <c r="F24" s="297" t="s">
        <v>3</v>
      </c>
      <c r="G24" s="416">
        <v>0.33905797202878962</v>
      </c>
      <c r="H24" s="428">
        <v>8747590.5703714434</v>
      </c>
      <c r="I24" s="334"/>
      <c r="K24" s="296">
        <v>15</v>
      </c>
      <c r="L24" s="351" t="s">
        <v>123</v>
      </c>
      <c r="M24" s="297" t="s">
        <v>2</v>
      </c>
      <c r="N24" s="407">
        <v>77014</v>
      </c>
      <c r="O24" s="297" t="s">
        <v>3</v>
      </c>
      <c r="P24" s="416">
        <v>1.2331705532184953</v>
      </c>
      <c r="Q24" s="428">
        <v>8737368.5226723664</v>
      </c>
      <c r="R24" s="334"/>
      <c r="T24" s="296">
        <v>15</v>
      </c>
      <c r="U24" s="351" t="s">
        <v>123</v>
      </c>
      <c r="V24" s="443">
        <v>10222.047699077055</v>
      </c>
      <c r="W24" s="444"/>
      <c r="X24" s="444"/>
      <c r="Y24" s="445">
        <v>1.1699229204482028E-3</v>
      </c>
    </row>
    <row r="25" spans="1:25" x14ac:dyDescent="0.2">
      <c r="A25" s="324"/>
      <c r="B25" s="296">
        <v>16</v>
      </c>
      <c r="C25" s="297"/>
      <c r="D25" s="297"/>
      <c r="E25" s="403"/>
      <c r="F25" s="297"/>
      <c r="G25" s="416"/>
      <c r="H25" s="341"/>
      <c r="I25" s="334"/>
      <c r="K25" s="296">
        <v>16</v>
      </c>
      <c r="L25" s="297"/>
      <c r="M25" s="297"/>
      <c r="N25" s="403"/>
      <c r="O25" s="297"/>
      <c r="P25" s="416"/>
      <c r="Q25" s="341"/>
      <c r="R25" s="334"/>
      <c r="T25" s="296">
        <v>16</v>
      </c>
      <c r="U25" s="297"/>
      <c r="V25" s="444"/>
      <c r="W25" s="444"/>
      <c r="X25" s="444"/>
      <c r="Y25" s="445"/>
    </row>
    <row r="26" spans="1:25" x14ac:dyDescent="0.2">
      <c r="A26" s="324"/>
      <c r="B26" s="296">
        <v>17</v>
      </c>
      <c r="C26" s="348" t="s">
        <v>39</v>
      </c>
      <c r="D26" s="332"/>
      <c r="E26" s="408"/>
      <c r="F26" s="297"/>
      <c r="G26" s="418"/>
      <c r="H26" s="350">
        <v>8747590.5703714434</v>
      </c>
      <c r="I26" s="334"/>
      <c r="K26" s="296">
        <v>17</v>
      </c>
      <c r="L26" s="348" t="s">
        <v>39</v>
      </c>
      <c r="M26" s="332"/>
      <c r="N26" s="408"/>
      <c r="O26" s="297"/>
      <c r="P26" s="418"/>
      <c r="Q26" s="350">
        <v>8737368.5226723664</v>
      </c>
      <c r="R26" s="334"/>
      <c r="T26" s="296">
        <v>17</v>
      </c>
      <c r="U26" s="348" t="s">
        <v>39</v>
      </c>
      <c r="V26" s="443">
        <v>10222.047699077055</v>
      </c>
      <c r="W26" s="444"/>
      <c r="X26" s="444"/>
      <c r="Y26" s="445">
        <v>1.1699229204482028E-3</v>
      </c>
    </row>
    <row r="27" spans="1:25" x14ac:dyDescent="0.2">
      <c r="A27" s="324"/>
      <c r="B27" s="296">
        <v>18</v>
      </c>
      <c r="C27" s="348"/>
      <c r="D27" s="332"/>
      <c r="E27" s="403"/>
      <c r="F27" s="297"/>
      <c r="G27" s="418"/>
      <c r="H27" s="350"/>
      <c r="I27" s="334"/>
      <c r="K27" s="296">
        <v>18</v>
      </c>
      <c r="L27" s="348"/>
      <c r="M27" s="332"/>
      <c r="N27" s="403"/>
      <c r="O27" s="297"/>
      <c r="P27" s="418"/>
      <c r="Q27" s="350"/>
      <c r="R27" s="334"/>
      <c r="T27" s="296">
        <v>18</v>
      </c>
      <c r="U27" s="348"/>
      <c r="V27" s="444"/>
      <c r="W27" s="444"/>
      <c r="X27" s="444"/>
      <c r="Y27" s="445"/>
    </row>
    <row r="28" spans="1:25" x14ac:dyDescent="0.2">
      <c r="A28" s="324"/>
      <c r="B28" s="296">
        <v>19</v>
      </c>
      <c r="C28" s="332" t="s">
        <v>124</v>
      </c>
      <c r="D28" s="301"/>
      <c r="E28" s="405"/>
      <c r="F28" s="301"/>
      <c r="G28" s="419"/>
      <c r="H28" s="341"/>
      <c r="I28" s="342"/>
      <c r="J28" s="343"/>
      <c r="K28" s="296">
        <v>19</v>
      </c>
      <c r="L28" s="332" t="s">
        <v>124</v>
      </c>
      <c r="M28" s="301"/>
      <c r="N28" s="405"/>
      <c r="O28" s="301"/>
      <c r="P28" s="419"/>
      <c r="Q28" s="341"/>
      <c r="R28" s="342"/>
      <c r="T28" s="296">
        <v>19</v>
      </c>
      <c r="U28" s="332" t="s">
        <v>124</v>
      </c>
      <c r="V28" s="444"/>
      <c r="W28" s="444"/>
      <c r="X28" s="444"/>
      <c r="Y28" s="445"/>
    </row>
    <row r="29" spans="1:25" x14ac:dyDescent="0.2">
      <c r="A29" s="324"/>
      <c r="B29" s="296">
        <v>20</v>
      </c>
      <c r="C29" s="297" t="s">
        <v>42</v>
      </c>
      <c r="D29" s="297" t="s">
        <v>43</v>
      </c>
      <c r="E29" s="405">
        <v>135796</v>
      </c>
      <c r="F29" s="297" t="s">
        <v>3</v>
      </c>
      <c r="G29" s="416">
        <v>0.51655668705956215</v>
      </c>
      <c r="H29" s="428">
        <v>23499021.178440001</v>
      </c>
      <c r="I29" s="342"/>
      <c r="J29" s="343"/>
      <c r="K29" s="296">
        <v>20</v>
      </c>
      <c r="L29" s="297" t="s">
        <v>42</v>
      </c>
      <c r="M29" s="297" t="s">
        <v>43</v>
      </c>
      <c r="N29" s="405">
        <v>135796</v>
      </c>
      <c r="O29" s="297" t="s">
        <v>3</v>
      </c>
      <c r="P29" s="416">
        <v>1.8831580134235881</v>
      </c>
      <c r="Q29" s="428">
        <v>23526729.954360001</v>
      </c>
      <c r="R29" s="342"/>
      <c r="T29" s="296">
        <v>20</v>
      </c>
      <c r="U29" s="297" t="s">
        <v>42</v>
      </c>
      <c r="V29" s="443">
        <v>-27708.775919999927</v>
      </c>
      <c r="W29" s="444"/>
      <c r="X29" s="444"/>
      <c r="Y29" s="445">
        <v>-1.1777572137629312E-3</v>
      </c>
    </row>
    <row r="30" spans="1:25" x14ac:dyDescent="0.2">
      <c r="A30" s="324"/>
      <c r="B30" s="296">
        <v>21</v>
      </c>
      <c r="C30" s="348" t="s">
        <v>39</v>
      </c>
      <c r="D30" s="332"/>
      <c r="E30" s="409"/>
      <c r="F30" s="332"/>
      <c r="G30" s="418"/>
      <c r="H30" s="350">
        <v>23499021.178440001</v>
      </c>
      <c r="I30" s="334"/>
      <c r="K30" s="296">
        <v>21</v>
      </c>
      <c r="L30" s="348" t="s">
        <v>39</v>
      </c>
      <c r="M30" s="332"/>
      <c r="N30" s="409"/>
      <c r="O30" s="332"/>
      <c r="P30" s="418"/>
      <c r="Q30" s="350">
        <v>23526729.954360001</v>
      </c>
      <c r="R30" s="334"/>
      <c r="T30" s="296">
        <v>21</v>
      </c>
      <c r="U30" s="348" t="s">
        <v>39</v>
      </c>
      <c r="V30" s="443">
        <v>-27708.775919999927</v>
      </c>
      <c r="W30" s="444"/>
      <c r="X30" s="444"/>
      <c r="Y30" s="445">
        <v>-1.1777572137629312E-3</v>
      </c>
    </row>
    <row r="31" spans="1:25" x14ac:dyDescent="0.2">
      <c r="A31" s="324"/>
      <c r="B31" s="296">
        <v>22</v>
      </c>
      <c r="C31" s="348"/>
      <c r="D31" s="332"/>
      <c r="E31" s="403"/>
      <c r="F31" s="297"/>
      <c r="G31" s="418"/>
      <c r="H31" s="350"/>
      <c r="I31" s="334"/>
      <c r="K31" s="296">
        <v>22</v>
      </c>
      <c r="L31" s="348"/>
      <c r="M31" s="332"/>
      <c r="N31" s="403"/>
      <c r="O31" s="297"/>
      <c r="P31" s="418"/>
      <c r="Q31" s="350"/>
      <c r="R31" s="334"/>
      <c r="T31" s="296">
        <v>22</v>
      </c>
      <c r="U31" s="348"/>
      <c r="V31" s="444"/>
      <c r="W31" s="444"/>
      <c r="X31" s="444"/>
      <c r="Y31" s="445"/>
    </row>
    <row r="32" spans="1:25" x14ac:dyDescent="0.2">
      <c r="A32" s="324"/>
      <c r="B32" s="296">
        <v>23</v>
      </c>
      <c r="C32" s="332" t="s">
        <v>125</v>
      </c>
      <c r="D32" s="301"/>
      <c r="E32" s="405"/>
      <c r="F32" s="301"/>
      <c r="G32" s="419"/>
      <c r="H32" s="301"/>
      <c r="I32" s="334"/>
      <c r="K32" s="296">
        <v>23</v>
      </c>
      <c r="L32" s="332" t="s">
        <v>125</v>
      </c>
      <c r="M32" s="301"/>
      <c r="N32" s="405"/>
      <c r="O32" s="301"/>
      <c r="P32" s="419"/>
      <c r="Q32" s="301"/>
      <c r="R32" s="334"/>
      <c r="T32" s="296">
        <v>23</v>
      </c>
      <c r="U32" s="332" t="s">
        <v>125</v>
      </c>
      <c r="V32" s="444"/>
      <c r="W32" s="444"/>
      <c r="X32" s="444"/>
      <c r="Y32" s="445"/>
    </row>
    <row r="33" spans="1:25" x14ac:dyDescent="0.2">
      <c r="A33" s="324"/>
      <c r="B33" s="296">
        <v>24</v>
      </c>
      <c r="C33" s="301"/>
      <c r="D33" s="301"/>
      <c r="E33" s="410"/>
      <c r="F33" s="301"/>
      <c r="G33" s="419"/>
      <c r="H33" s="301"/>
      <c r="I33" s="334"/>
      <c r="K33" s="296">
        <v>24</v>
      </c>
      <c r="L33" s="301"/>
      <c r="M33" s="301"/>
      <c r="N33" s="410"/>
      <c r="O33" s="301"/>
      <c r="P33" s="419"/>
      <c r="Q33" s="301"/>
      <c r="R33" s="334"/>
      <c r="T33" s="296">
        <v>24</v>
      </c>
      <c r="U33" s="301"/>
      <c r="V33" s="444"/>
      <c r="W33" s="444"/>
      <c r="X33" s="444"/>
      <c r="Y33" s="445"/>
    </row>
    <row r="34" spans="1:25" x14ac:dyDescent="0.2">
      <c r="A34" s="324"/>
      <c r="B34" s="296">
        <v>25</v>
      </c>
      <c r="C34" s="332" t="s">
        <v>119</v>
      </c>
      <c r="D34" s="297"/>
      <c r="E34" s="410"/>
      <c r="F34" s="301"/>
      <c r="G34" s="419"/>
      <c r="H34" s="301"/>
      <c r="I34" s="342"/>
      <c r="J34" s="343"/>
      <c r="K34" s="296">
        <v>25</v>
      </c>
      <c r="L34" s="332" t="s">
        <v>119</v>
      </c>
      <c r="M34" s="297"/>
      <c r="N34" s="410"/>
      <c r="O34" s="301"/>
      <c r="P34" s="419"/>
      <c r="Q34" s="301"/>
      <c r="R34" s="342"/>
      <c r="T34" s="296">
        <v>25</v>
      </c>
      <c r="U34" s="332" t="s">
        <v>119</v>
      </c>
      <c r="V34" s="444"/>
      <c r="W34" s="444"/>
      <c r="X34" s="444"/>
      <c r="Y34" s="445"/>
    </row>
    <row r="35" spans="1:25" x14ac:dyDescent="0.2">
      <c r="A35" s="324"/>
      <c r="B35" s="296">
        <v>26</v>
      </c>
      <c r="C35" s="297" t="s">
        <v>126</v>
      </c>
      <c r="D35" s="339" t="s">
        <v>30</v>
      </c>
      <c r="E35" s="403">
        <v>48390</v>
      </c>
      <c r="F35" s="297" t="s">
        <v>3</v>
      </c>
      <c r="G35" s="416">
        <v>2.4188059701492539E-2</v>
      </c>
      <c r="H35" s="428">
        <v>392104.17000000004</v>
      </c>
      <c r="I35" s="342"/>
      <c r="J35" s="343"/>
      <c r="K35" s="296">
        <v>26</v>
      </c>
      <c r="L35" s="297" t="s">
        <v>126</v>
      </c>
      <c r="M35" s="339" t="s">
        <v>30</v>
      </c>
      <c r="N35" s="403">
        <v>48390</v>
      </c>
      <c r="O35" s="297" t="s">
        <v>3</v>
      </c>
      <c r="P35" s="416">
        <v>8.8317391304347834E-2</v>
      </c>
      <c r="Q35" s="428">
        <v>393178.42800000001</v>
      </c>
      <c r="R35" s="342"/>
      <c r="T35" s="296">
        <v>26</v>
      </c>
      <c r="U35" s="339" t="s">
        <v>126</v>
      </c>
      <c r="V35" s="443">
        <v>-1074.2579999999725</v>
      </c>
      <c r="W35" s="444"/>
      <c r="X35" s="444"/>
      <c r="Y35" s="445">
        <v>-2.7322404371584001E-3</v>
      </c>
    </row>
    <row r="36" spans="1:25" x14ac:dyDescent="0.2">
      <c r="A36" s="324"/>
      <c r="B36" s="296">
        <v>27</v>
      </c>
      <c r="C36" s="297" t="s">
        <v>126</v>
      </c>
      <c r="D36" s="339" t="s">
        <v>127</v>
      </c>
      <c r="E36" s="403">
        <v>1181021</v>
      </c>
      <c r="F36" s="297" t="s">
        <v>173</v>
      </c>
      <c r="G36" s="416">
        <v>8.8253731343283597E-4</v>
      </c>
      <c r="H36" s="428">
        <v>349168.85865000007</v>
      </c>
      <c r="I36" s="334"/>
      <c r="K36" s="296">
        <v>27</v>
      </c>
      <c r="L36" s="297" t="s">
        <v>126</v>
      </c>
      <c r="M36" s="339" t="s">
        <v>127</v>
      </c>
      <c r="N36" s="403">
        <v>1181021</v>
      </c>
      <c r="O36" s="297" t="s">
        <v>173</v>
      </c>
      <c r="P36" s="416">
        <v>3.2223913043478267E-3</v>
      </c>
      <c r="Q36" s="428">
        <v>350125.48566000006</v>
      </c>
      <c r="R36" s="334"/>
      <c r="T36" s="296">
        <v>27</v>
      </c>
      <c r="U36" s="339" t="s">
        <v>126</v>
      </c>
      <c r="V36" s="443">
        <v>-956.62700999999652</v>
      </c>
      <c r="W36" s="444"/>
      <c r="X36" s="444"/>
      <c r="Y36" s="445">
        <v>-2.7322404371584595E-3</v>
      </c>
    </row>
    <row r="37" spans="1:25" x14ac:dyDescent="0.2">
      <c r="A37" s="324"/>
      <c r="B37" s="296">
        <v>28</v>
      </c>
      <c r="C37" s="348" t="s">
        <v>39</v>
      </c>
      <c r="D37" s="332"/>
      <c r="E37" s="410"/>
      <c r="F37" s="297"/>
      <c r="G37" s="416"/>
      <c r="H37" s="350">
        <v>741273.02865000011</v>
      </c>
      <c r="I37" s="334"/>
      <c r="K37" s="296">
        <v>28</v>
      </c>
      <c r="L37" s="348" t="s">
        <v>39</v>
      </c>
      <c r="M37" s="332"/>
      <c r="N37" s="410"/>
      <c r="O37" s="297"/>
      <c r="P37" s="416"/>
      <c r="Q37" s="350">
        <v>743303.91366000008</v>
      </c>
      <c r="R37" s="334"/>
      <c r="T37" s="296">
        <v>28</v>
      </c>
      <c r="U37" s="348" t="s">
        <v>39</v>
      </c>
      <c r="V37" s="443">
        <v>-2030.885009999969</v>
      </c>
      <c r="W37" s="444"/>
      <c r="X37" s="444"/>
      <c r="Y37" s="445">
        <v>-2.7322404371584279E-3</v>
      </c>
    </row>
    <row r="38" spans="1:25" x14ac:dyDescent="0.2">
      <c r="A38" s="324"/>
      <c r="B38" s="296">
        <v>29</v>
      </c>
      <c r="C38" s="353"/>
      <c r="D38" s="332"/>
      <c r="E38" s="410"/>
      <c r="F38" s="297"/>
      <c r="G38" s="416"/>
      <c r="H38" s="350"/>
      <c r="I38" s="334"/>
      <c r="K38" s="296">
        <v>29</v>
      </c>
      <c r="L38" s="353"/>
      <c r="M38" s="332"/>
      <c r="N38" s="410"/>
      <c r="O38" s="297"/>
      <c r="P38" s="416"/>
      <c r="Q38" s="350"/>
      <c r="R38" s="334"/>
      <c r="T38" s="296">
        <v>29</v>
      </c>
      <c r="U38" s="353"/>
      <c r="V38" s="332"/>
      <c r="W38" s="352"/>
      <c r="X38" s="297"/>
      <c r="Y38" s="445"/>
    </row>
    <row r="39" spans="1:25" x14ac:dyDescent="0.2">
      <c r="A39" s="324"/>
      <c r="B39" s="296">
        <v>30</v>
      </c>
      <c r="C39" s="297" t="s">
        <v>174</v>
      </c>
      <c r="D39" s="297" t="s">
        <v>30</v>
      </c>
      <c r="E39" s="403">
        <v>15000</v>
      </c>
      <c r="F39" s="297" t="s">
        <v>3</v>
      </c>
      <c r="G39" s="416"/>
      <c r="H39" s="428">
        <v>87819.000000000015</v>
      </c>
      <c r="I39" s="334"/>
      <c r="K39" s="296">
        <v>30</v>
      </c>
      <c r="L39" s="297" t="s">
        <v>174</v>
      </c>
      <c r="M39" s="297" t="s">
        <v>30</v>
      </c>
      <c r="N39" s="403">
        <v>15000</v>
      </c>
      <c r="O39" s="297" t="s">
        <v>3</v>
      </c>
      <c r="P39" s="416"/>
      <c r="Q39" s="428">
        <v>88059.6</v>
      </c>
      <c r="R39" s="334"/>
      <c r="T39" s="296">
        <v>30</v>
      </c>
      <c r="U39" s="297" t="s">
        <v>174</v>
      </c>
      <c r="V39" s="297" t="s">
        <v>175</v>
      </c>
      <c r="W39" s="340"/>
      <c r="X39" s="297"/>
      <c r="Y39" s="445" t="s">
        <v>175</v>
      </c>
    </row>
    <row r="40" spans="1:25" x14ac:dyDescent="0.2">
      <c r="A40" s="324"/>
      <c r="B40" s="296">
        <v>31</v>
      </c>
      <c r="C40" s="297" t="s">
        <v>174</v>
      </c>
      <c r="D40" s="339" t="s">
        <v>127</v>
      </c>
      <c r="E40" s="403">
        <v>60000</v>
      </c>
      <c r="F40" s="297" t="s">
        <v>3</v>
      </c>
      <c r="G40" s="416"/>
      <c r="H40" s="428">
        <v>171695.99999999997</v>
      </c>
      <c r="I40" s="342"/>
      <c r="J40" s="343"/>
      <c r="K40" s="296">
        <v>31</v>
      </c>
      <c r="L40" s="297" t="s">
        <v>174</v>
      </c>
      <c r="M40" s="339" t="s">
        <v>127</v>
      </c>
      <c r="N40" s="403">
        <v>60000</v>
      </c>
      <c r="O40" s="297" t="s">
        <v>3</v>
      </c>
      <c r="P40" s="416"/>
      <c r="Q40" s="428">
        <v>172166.39999999999</v>
      </c>
      <c r="R40" s="342"/>
      <c r="T40" s="296">
        <v>31</v>
      </c>
      <c r="U40" s="297" t="s">
        <v>174</v>
      </c>
      <c r="V40" s="297" t="s">
        <v>175</v>
      </c>
      <c r="W40" s="340"/>
      <c r="X40" s="297"/>
      <c r="Y40" s="445" t="s">
        <v>175</v>
      </c>
    </row>
    <row r="41" spans="1:25" x14ac:dyDescent="0.2">
      <c r="A41" s="324"/>
      <c r="B41" s="296">
        <v>32</v>
      </c>
      <c r="C41" s="348" t="s">
        <v>39</v>
      </c>
      <c r="D41" s="332"/>
      <c r="E41" s="410"/>
      <c r="F41" s="297"/>
      <c r="G41" s="416"/>
      <c r="H41" s="350">
        <v>259515</v>
      </c>
      <c r="I41" s="342"/>
      <c r="J41" s="343"/>
      <c r="K41" s="296">
        <v>32</v>
      </c>
      <c r="L41" s="348" t="s">
        <v>39</v>
      </c>
      <c r="M41" s="332"/>
      <c r="N41" s="410"/>
      <c r="O41" s="297"/>
      <c r="P41" s="416"/>
      <c r="Q41" s="350">
        <v>260226</v>
      </c>
      <c r="R41" s="342"/>
      <c r="T41" s="296">
        <v>32</v>
      </c>
      <c r="U41" s="348" t="s">
        <v>39</v>
      </c>
      <c r="V41" s="332"/>
      <c r="W41" s="352"/>
      <c r="X41" s="297"/>
      <c r="Y41" s="445"/>
    </row>
    <row r="42" spans="1:25" x14ac:dyDescent="0.2">
      <c r="A42" s="324"/>
      <c r="B42" s="296">
        <v>33</v>
      </c>
      <c r="C42" s="348"/>
      <c r="D42" s="332"/>
      <c r="E42" s="403"/>
      <c r="F42" s="297"/>
      <c r="G42" s="418"/>
      <c r="H42" s="350"/>
      <c r="I42" s="334"/>
      <c r="K42" s="296">
        <v>33</v>
      </c>
      <c r="L42" s="348"/>
      <c r="M42" s="332"/>
      <c r="N42" s="403"/>
      <c r="O42" s="297"/>
      <c r="P42" s="418"/>
      <c r="Q42" s="350"/>
      <c r="R42" s="334"/>
      <c r="T42" s="296">
        <v>33</v>
      </c>
      <c r="U42" s="348"/>
      <c r="V42" s="332"/>
      <c r="W42" s="340"/>
      <c r="X42" s="297"/>
      <c r="Y42" s="445"/>
    </row>
    <row r="43" spans="1:25" x14ac:dyDescent="0.2">
      <c r="A43" s="324"/>
      <c r="B43" s="296">
        <v>34</v>
      </c>
      <c r="C43" s="332" t="s">
        <v>128</v>
      </c>
      <c r="D43" s="332"/>
      <c r="E43" s="410"/>
      <c r="F43" s="297"/>
      <c r="G43" s="416"/>
      <c r="H43" s="350"/>
      <c r="I43" s="334"/>
      <c r="K43" s="296">
        <v>34</v>
      </c>
      <c r="L43" s="332" t="s">
        <v>128</v>
      </c>
      <c r="M43" s="332"/>
      <c r="N43" s="410"/>
      <c r="O43" s="297"/>
      <c r="P43" s="416"/>
      <c r="Q43" s="350"/>
      <c r="R43" s="334"/>
      <c r="T43" s="296">
        <v>34</v>
      </c>
      <c r="U43" s="332" t="s">
        <v>128</v>
      </c>
      <c r="V43" s="332"/>
      <c r="W43" s="352"/>
      <c r="X43" s="297"/>
      <c r="Y43" s="445"/>
    </row>
    <row r="44" spans="1:25" x14ac:dyDescent="0.2">
      <c r="A44" s="324"/>
      <c r="B44" s="296">
        <v>35</v>
      </c>
      <c r="C44" s="297" t="s">
        <v>44</v>
      </c>
      <c r="D44" s="297" t="s">
        <v>30</v>
      </c>
      <c r="E44" s="403">
        <v>107356</v>
      </c>
      <c r="F44" s="297" t="s">
        <v>3</v>
      </c>
      <c r="G44" s="416">
        <v>0.10221062686567163</v>
      </c>
      <c r="H44" s="428">
        <v>3675929.5593599994</v>
      </c>
      <c r="I44" s="334"/>
      <c r="K44" s="296">
        <v>35</v>
      </c>
      <c r="L44" s="297" t="s">
        <v>44</v>
      </c>
      <c r="M44" s="297" t="s">
        <v>30</v>
      </c>
      <c r="N44" s="403">
        <v>107356</v>
      </c>
      <c r="O44" s="297" t="s">
        <v>3</v>
      </c>
      <c r="P44" s="416">
        <v>0.37217999999999996</v>
      </c>
      <c r="Q44" s="428">
        <v>3675929.5593599994</v>
      </c>
      <c r="R44" s="334"/>
      <c r="T44" s="296">
        <v>35</v>
      </c>
      <c r="U44" s="297" t="s">
        <v>44</v>
      </c>
      <c r="V44" s="443">
        <v>0</v>
      </c>
      <c r="W44" s="444"/>
      <c r="X44" s="444"/>
      <c r="Y44" s="445">
        <v>0</v>
      </c>
    </row>
    <row r="45" spans="1:25" x14ac:dyDescent="0.2">
      <c r="A45" s="324"/>
      <c r="B45" s="296">
        <v>36</v>
      </c>
      <c r="C45" s="297" t="s">
        <v>44</v>
      </c>
      <c r="D45" s="339" t="s">
        <v>127</v>
      </c>
      <c r="E45" s="403">
        <v>12882750</v>
      </c>
      <c r="F45" s="297" t="s">
        <v>173</v>
      </c>
      <c r="G45" s="416">
        <v>7.8180821917808209E-4</v>
      </c>
      <c r="H45" s="428">
        <v>3676221.5399999996</v>
      </c>
      <c r="I45" s="334"/>
      <c r="K45" s="296">
        <v>36</v>
      </c>
      <c r="L45" s="297" t="s">
        <v>44</v>
      </c>
      <c r="M45" s="339" t="s">
        <v>127</v>
      </c>
      <c r="N45" s="403">
        <v>12882750</v>
      </c>
      <c r="O45" s="297" t="s">
        <v>173</v>
      </c>
      <c r="P45" s="416">
        <v>7.8180821917808209E-4</v>
      </c>
      <c r="Q45" s="428">
        <v>3676221.5399999996</v>
      </c>
      <c r="R45" s="334"/>
      <c r="T45" s="296">
        <v>36</v>
      </c>
      <c r="U45" s="297" t="s">
        <v>44</v>
      </c>
      <c r="V45" s="443">
        <v>0</v>
      </c>
      <c r="W45" s="444"/>
      <c r="X45" s="444"/>
      <c r="Y45" s="445">
        <v>0</v>
      </c>
    </row>
    <row r="46" spans="1:25" x14ac:dyDescent="0.2">
      <c r="A46" s="324"/>
      <c r="B46" s="296">
        <v>37</v>
      </c>
      <c r="C46" s="348" t="s">
        <v>39</v>
      </c>
      <c r="D46" s="332"/>
      <c r="E46" s="410"/>
      <c r="F46" s="297"/>
      <c r="G46" s="416"/>
      <c r="H46" s="350">
        <v>7352151.0993599985</v>
      </c>
      <c r="I46" s="342"/>
      <c r="J46" s="343"/>
      <c r="K46" s="296">
        <v>37</v>
      </c>
      <c r="L46" s="348" t="s">
        <v>39</v>
      </c>
      <c r="M46" s="332"/>
      <c r="N46" s="410"/>
      <c r="O46" s="297"/>
      <c r="P46" s="416"/>
      <c r="Q46" s="350">
        <v>7352151.0993599985</v>
      </c>
      <c r="R46" s="342"/>
      <c r="T46" s="296">
        <v>37</v>
      </c>
      <c r="U46" s="348" t="s">
        <v>39</v>
      </c>
      <c r="V46" s="443">
        <v>0</v>
      </c>
      <c r="W46" s="444"/>
      <c r="X46" s="444"/>
      <c r="Y46" s="445">
        <v>0</v>
      </c>
    </row>
    <row r="47" spans="1:25" x14ac:dyDescent="0.2">
      <c r="A47" s="324"/>
      <c r="B47" s="296">
        <v>38</v>
      </c>
      <c r="C47" s="348"/>
      <c r="D47" s="332"/>
      <c r="E47" s="410"/>
      <c r="F47" s="297"/>
      <c r="G47" s="416"/>
      <c r="H47" s="350"/>
      <c r="I47" s="342"/>
      <c r="J47" s="343"/>
      <c r="K47" s="296">
        <v>38</v>
      </c>
      <c r="L47" s="348"/>
      <c r="M47" s="332"/>
      <c r="N47" s="410"/>
      <c r="O47" s="297"/>
      <c r="P47" s="416"/>
      <c r="Q47" s="350"/>
      <c r="R47" s="342"/>
      <c r="T47" s="296">
        <v>38</v>
      </c>
      <c r="U47" s="348"/>
      <c r="V47" s="444"/>
      <c r="W47" s="444"/>
      <c r="X47" s="444"/>
      <c r="Y47" s="445"/>
    </row>
    <row r="48" spans="1:25" x14ac:dyDescent="0.2">
      <c r="A48" s="324"/>
      <c r="B48" s="296">
        <v>39</v>
      </c>
      <c r="C48" s="332" t="s">
        <v>129</v>
      </c>
      <c r="D48" s="301"/>
      <c r="E48" s="410"/>
      <c r="F48" s="297"/>
      <c r="G48" s="416"/>
      <c r="H48" s="301"/>
      <c r="I48" s="334"/>
      <c r="K48" s="296">
        <v>39</v>
      </c>
      <c r="L48" s="332" t="s">
        <v>129</v>
      </c>
      <c r="M48" s="301"/>
      <c r="N48" s="410"/>
      <c r="O48" s="297"/>
      <c r="P48" s="416"/>
      <c r="Q48" s="301"/>
      <c r="R48" s="334"/>
      <c r="T48" s="296">
        <v>39</v>
      </c>
      <c r="U48" s="332" t="s">
        <v>129</v>
      </c>
      <c r="V48" s="444"/>
      <c r="W48" s="444"/>
      <c r="X48" s="444"/>
      <c r="Y48" s="445"/>
    </row>
    <row r="49" spans="1:25" s="356" customFormat="1" x14ac:dyDescent="0.2">
      <c r="A49" s="354"/>
      <c r="B49" s="296">
        <v>40</v>
      </c>
      <c r="C49" s="297" t="s">
        <v>41</v>
      </c>
      <c r="D49" s="297" t="s">
        <v>7</v>
      </c>
      <c r="E49" s="411"/>
      <c r="F49" s="355"/>
      <c r="G49" s="420"/>
      <c r="H49" s="429"/>
      <c r="I49" s="334"/>
      <c r="J49" s="285"/>
      <c r="K49" s="296">
        <v>40</v>
      </c>
      <c r="L49" s="297" t="s">
        <v>41</v>
      </c>
      <c r="M49" s="297" t="s">
        <v>7</v>
      </c>
      <c r="N49" s="411"/>
      <c r="O49" s="355"/>
      <c r="P49" s="420"/>
      <c r="Q49" s="429"/>
      <c r="R49" s="334"/>
      <c r="T49" s="296">
        <v>40</v>
      </c>
      <c r="U49" s="297" t="s">
        <v>41</v>
      </c>
      <c r="V49" s="525"/>
      <c r="W49" s="537"/>
      <c r="X49" s="537"/>
      <c r="Y49" s="527"/>
    </row>
    <row r="50" spans="1:25" x14ac:dyDescent="0.2">
      <c r="A50" s="324"/>
      <c r="B50" s="296">
        <v>41</v>
      </c>
      <c r="C50" s="348" t="s">
        <v>39</v>
      </c>
      <c r="D50" s="332"/>
      <c r="E50" s="410"/>
      <c r="F50" s="297"/>
      <c r="G50" s="416"/>
      <c r="H50" s="357"/>
      <c r="I50" s="334"/>
      <c r="K50" s="296">
        <v>41</v>
      </c>
      <c r="L50" s="348" t="s">
        <v>39</v>
      </c>
      <c r="M50" s="332"/>
      <c r="N50" s="410"/>
      <c r="O50" s="297"/>
      <c r="P50" s="416"/>
      <c r="Q50" s="357"/>
      <c r="R50" s="334"/>
      <c r="T50" s="296">
        <v>41</v>
      </c>
      <c r="U50" s="348" t="s">
        <v>39</v>
      </c>
      <c r="V50" s="538"/>
      <c r="W50" s="539"/>
      <c r="X50" s="539"/>
      <c r="Y50" s="528"/>
    </row>
    <row r="51" spans="1:25" x14ac:dyDescent="0.2">
      <c r="A51" s="324"/>
      <c r="B51" s="296">
        <v>42</v>
      </c>
      <c r="C51" s="348"/>
      <c r="D51" s="332"/>
      <c r="E51" s="410"/>
      <c r="F51" s="297"/>
      <c r="G51" s="416"/>
      <c r="H51" s="350"/>
      <c r="I51" s="334"/>
      <c r="K51" s="296">
        <v>42</v>
      </c>
      <c r="L51" s="348"/>
      <c r="M51" s="332"/>
      <c r="N51" s="410"/>
      <c r="O51" s="297"/>
      <c r="P51" s="416"/>
      <c r="Q51" s="350"/>
      <c r="R51" s="334"/>
      <c r="T51" s="296">
        <v>42</v>
      </c>
      <c r="U51" s="348"/>
      <c r="V51" s="444"/>
      <c r="W51" s="444"/>
      <c r="X51" s="444"/>
      <c r="Y51" s="445"/>
    </row>
    <row r="52" spans="1:25" x14ac:dyDescent="0.2">
      <c r="A52" s="324"/>
      <c r="B52" s="296">
        <v>43</v>
      </c>
      <c r="C52" s="332" t="s">
        <v>130</v>
      </c>
      <c r="D52" s="297"/>
      <c r="E52" s="410"/>
      <c r="F52" s="297"/>
      <c r="G52" s="416"/>
      <c r="H52" s="341"/>
      <c r="I52" s="342"/>
      <c r="J52" s="343"/>
      <c r="K52" s="296">
        <v>43</v>
      </c>
      <c r="L52" s="332" t="s">
        <v>130</v>
      </c>
      <c r="M52" s="297"/>
      <c r="N52" s="410"/>
      <c r="O52" s="297"/>
      <c r="P52" s="416"/>
      <c r="Q52" s="341"/>
      <c r="R52" s="342"/>
      <c r="T52" s="296">
        <v>43</v>
      </c>
      <c r="U52" s="332" t="s">
        <v>130</v>
      </c>
      <c r="V52" s="444"/>
      <c r="W52" s="444"/>
      <c r="X52" s="444"/>
      <c r="Y52" s="445"/>
    </row>
    <row r="53" spans="1:25" x14ac:dyDescent="0.2">
      <c r="A53" s="324"/>
      <c r="B53" s="296">
        <v>44</v>
      </c>
      <c r="C53" s="332"/>
      <c r="D53" s="297"/>
      <c r="E53" s="410"/>
      <c r="F53" s="297"/>
      <c r="G53" s="416"/>
      <c r="H53" s="341"/>
      <c r="I53" s="342"/>
      <c r="J53" s="343"/>
      <c r="K53" s="296">
        <v>44</v>
      </c>
      <c r="L53" s="332"/>
      <c r="M53" s="297"/>
      <c r="N53" s="410"/>
      <c r="O53" s="297"/>
      <c r="P53" s="416"/>
      <c r="Q53" s="341"/>
      <c r="R53" s="342"/>
      <c r="T53" s="296">
        <v>44</v>
      </c>
      <c r="U53" s="332"/>
      <c r="V53" s="444"/>
      <c r="W53" s="444"/>
      <c r="X53" s="444"/>
      <c r="Y53" s="445"/>
    </row>
    <row r="54" spans="1:25" x14ac:dyDescent="0.2">
      <c r="A54" s="324"/>
      <c r="B54" s="296">
        <v>45</v>
      </c>
      <c r="C54" s="297" t="s">
        <v>131</v>
      </c>
      <c r="D54" s="297" t="s">
        <v>7</v>
      </c>
      <c r="E54" s="403">
        <v>113577</v>
      </c>
      <c r="F54" s="297" t="s">
        <v>3</v>
      </c>
      <c r="G54" s="416">
        <v>0.22291494707240361</v>
      </c>
      <c r="H54" s="428">
        <v>3823019.6524900002</v>
      </c>
      <c r="I54" s="334"/>
      <c r="K54" s="296">
        <v>45</v>
      </c>
      <c r="L54" s="297" t="s">
        <v>131</v>
      </c>
      <c r="M54" s="297" t="s">
        <v>7</v>
      </c>
      <c r="N54" s="403">
        <v>113577</v>
      </c>
      <c r="O54" s="297" t="s">
        <v>3</v>
      </c>
      <c r="P54" s="416">
        <v>0.22263295812358694</v>
      </c>
      <c r="Q54" s="428">
        <v>3843469.4896900002</v>
      </c>
      <c r="R54" s="334"/>
      <c r="T54" s="296">
        <v>45</v>
      </c>
      <c r="U54" s="297" t="s">
        <v>131</v>
      </c>
      <c r="V54" s="443">
        <v>-20449.837199999951</v>
      </c>
      <c r="W54" s="444"/>
      <c r="X54" s="444"/>
      <c r="Y54" s="445">
        <v>-5.3206711422729043E-3</v>
      </c>
    </row>
    <row r="55" spans="1:25" x14ac:dyDescent="0.2">
      <c r="A55" s="324"/>
      <c r="B55" s="296">
        <v>46</v>
      </c>
      <c r="C55" s="297" t="s">
        <v>132</v>
      </c>
      <c r="D55" s="297" t="s">
        <v>7</v>
      </c>
      <c r="E55" s="403">
        <v>13873</v>
      </c>
      <c r="F55" s="297" t="s">
        <v>3</v>
      </c>
      <c r="G55" s="416">
        <v>0.50021144684133567</v>
      </c>
      <c r="H55" s="428">
        <v>2324710.1896799998</v>
      </c>
      <c r="I55" s="334"/>
      <c r="K55" s="296">
        <v>46</v>
      </c>
      <c r="L55" s="297" t="s">
        <v>132</v>
      </c>
      <c r="M55" s="297" t="s">
        <v>7</v>
      </c>
      <c r="N55" s="403">
        <v>13873</v>
      </c>
      <c r="O55" s="297" t="s">
        <v>3</v>
      </c>
      <c r="P55" s="416">
        <v>0.45826028256325224</v>
      </c>
      <c r="Q55" s="428">
        <v>2326824.8333999994</v>
      </c>
      <c r="R55" s="334"/>
      <c r="T55" s="296">
        <v>46</v>
      </c>
      <c r="U55" s="297" t="s">
        <v>132</v>
      </c>
      <c r="V55" s="443">
        <v>-2114.6437199995853</v>
      </c>
      <c r="W55" s="444"/>
      <c r="X55" s="444"/>
      <c r="Y55" s="445">
        <v>-9.0881087808815798E-4</v>
      </c>
    </row>
    <row r="56" spans="1:25" x14ac:dyDescent="0.2">
      <c r="A56" s="324"/>
      <c r="B56" s="296">
        <v>47</v>
      </c>
      <c r="C56" s="348" t="s">
        <v>39</v>
      </c>
      <c r="D56" s="332"/>
      <c r="E56" s="410"/>
      <c r="F56" s="358"/>
      <c r="G56" s="416"/>
      <c r="H56" s="350">
        <v>6147729.8421700001</v>
      </c>
      <c r="I56" s="334"/>
      <c r="K56" s="296">
        <v>47</v>
      </c>
      <c r="L56" s="348" t="s">
        <v>39</v>
      </c>
      <c r="M56" s="332"/>
      <c r="N56" s="410"/>
      <c r="O56" s="358"/>
      <c r="P56" s="416"/>
      <c r="Q56" s="350">
        <v>6170294.3230900001</v>
      </c>
      <c r="R56" s="334"/>
      <c r="T56" s="296">
        <v>47</v>
      </c>
      <c r="U56" s="348" t="s">
        <v>39</v>
      </c>
      <c r="V56" s="443">
        <v>-22564.480920000002</v>
      </c>
      <c r="W56" s="444"/>
      <c r="X56" s="444"/>
      <c r="Y56" s="445">
        <v>-3.6569537429618128E-3</v>
      </c>
    </row>
    <row r="57" spans="1:25" x14ac:dyDescent="0.2">
      <c r="A57" s="324"/>
      <c r="B57" s="296">
        <v>48</v>
      </c>
      <c r="C57" s="301"/>
      <c r="D57" s="301"/>
      <c r="E57" s="410"/>
      <c r="F57" s="358"/>
      <c r="G57" s="416"/>
      <c r="H57" s="301"/>
      <c r="I57" s="334"/>
      <c r="K57" s="296">
        <v>48</v>
      </c>
      <c r="L57" s="301"/>
      <c r="M57" s="301"/>
      <c r="N57" s="410"/>
      <c r="O57" s="358"/>
      <c r="P57" s="416"/>
      <c r="Q57" s="301"/>
      <c r="R57" s="334"/>
      <c r="T57" s="296">
        <v>48</v>
      </c>
      <c r="U57" s="301"/>
      <c r="V57" s="444"/>
      <c r="W57" s="444"/>
      <c r="X57" s="444"/>
      <c r="Y57" s="445"/>
    </row>
    <row r="58" spans="1:25" x14ac:dyDescent="0.2">
      <c r="A58" s="324"/>
      <c r="B58" s="296">
        <v>49</v>
      </c>
      <c r="C58" s="332" t="s">
        <v>176</v>
      </c>
      <c r="D58" s="297"/>
      <c r="E58" s="410"/>
      <c r="F58" s="297"/>
      <c r="G58" s="416"/>
      <c r="H58" s="341"/>
      <c r="I58" s="342"/>
      <c r="J58" s="343"/>
      <c r="K58" s="296">
        <v>49</v>
      </c>
      <c r="L58" s="332" t="s">
        <v>176</v>
      </c>
      <c r="M58" s="297"/>
      <c r="N58" s="410"/>
      <c r="O58" s="297"/>
      <c r="P58" s="416"/>
      <c r="Q58" s="341"/>
      <c r="R58" s="342"/>
      <c r="T58" s="296">
        <v>49</v>
      </c>
      <c r="U58" s="332" t="s">
        <v>176</v>
      </c>
      <c r="V58" s="444"/>
      <c r="W58" s="444"/>
      <c r="X58" s="444"/>
      <c r="Y58" s="445"/>
    </row>
    <row r="59" spans="1:25" x14ac:dyDescent="0.2">
      <c r="A59" s="324"/>
      <c r="B59" s="296">
        <v>50</v>
      </c>
      <c r="C59" s="297" t="s">
        <v>46</v>
      </c>
      <c r="D59" s="297" t="s">
        <v>7</v>
      </c>
      <c r="E59" s="412"/>
      <c r="F59" s="347"/>
      <c r="G59" s="417"/>
      <c r="H59" s="429"/>
      <c r="I59" s="342"/>
      <c r="J59" s="343"/>
      <c r="K59" s="296">
        <v>50</v>
      </c>
      <c r="L59" s="297" t="s">
        <v>46</v>
      </c>
      <c r="M59" s="297" t="s">
        <v>7</v>
      </c>
      <c r="N59" s="412"/>
      <c r="O59" s="347"/>
      <c r="P59" s="417"/>
      <c r="Q59" s="429"/>
      <c r="R59" s="342"/>
      <c r="T59" s="296">
        <v>50</v>
      </c>
      <c r="U59" s="297" t="s">
        <v>46</v>
      </c>
      <c r="V59" s="529"/>
      <c r="W59" s="444"/>
      <c r="X59" s="444"/>
      <c r="Y59" s="532"/>
    </row>
    <row r="60" spans="1:25" x14ac:dyDescent="0.2">
      <c r="B60" s="296">
        <v>51</v>
      </c>
      <c r="C60" s="359" t="s">
        <v>177</v>
      </c>
      <c r="D60" s="360" t="s">
        <v>7</v>
      </c>
      <c r="E60" s="413"/>
      <c r="F60" s="361"/>
      <c r="G60" s="421"/>
      <c r="H60" s="430"/>
      <c r="I60" s="334"/>
      <c r="K60" s="296">
        <v>51</v>
      </c>
      <c r="L60" s="359" t="s">
        <v>177</v>
      </c>
      <c r="M60" s="360" t="s">
        <v>7</v>
      </c>
      <c r="N60" s="413"/>
      <c r="O60" s="361"/>
      <c r="P60" s="421"/>
      <c r="Q60" s="430"/>
      <c r="R60" s="334"/>
      <c r="T60" s="296">
        <v>51</v>
      </c>
      <c r="U60" s="359" t="s">
        <v>177</v>
      </c>
      <c r="V60" s="530"/>
      <c r="W60" s="444"/>
      <c r="X60" s="444"/>
      <c r="Y60" s="533"/>
    </row>
    <row r="61" spans="1:25" x14ac:dyDescent="0.2">
      <c r="B61" s="296">
        <v>52</v>
      </c>
      <c r="C61" s="348" t="s">
        <v>39</v>
      </c>
      <c r="D61" s="297"/>
      <c r="E61" s="403"/>
      <c r="F61" s="297"/>
      <c r="G61" s="422"/>
      <c r="H61" s="357"/>
      <c r="I61" s="334"/>
      <c r="K61" s="296">
        <v>52</v>
      </c>
      <c r="L61" s="348" t="s">
        <v>39</v>
      </c>
      <c r="M61" s="297"/>
      <c r="N61" s="403"/>
      <c r="O61" s="297"/>
      <c r="P61" s="422"/>
      <c r="Q61" s="357"/>
      <c r="R61" s="334"/>
      <c r="T61" s="296">
        <v>52</v>
      </c>
      <c r="U61" s="348" t="s">
        <v>39</v>
      </c>
      <c r="V61" s="531"/>
      <c r="W61" s="444"/>
      <c r="X61" s="444"/>
      <c r="Y61" s="534"/>
    </row>
    <row r="62" spans="1:25" x14ac:dyDescent="0.2">
      <c r="B62" s="296">
        <v>53</v>
      </c>
      <c r="C62" s="348"/>
      <c r="D62" s="332"/>
      <c r="E62" s="403"/>
      <c r="F62" s="297"/>
      <c r="G62" s="418"/>
      <c r="H62" s="350"/>
      <c r="I62" s="362"/>
      <c r="K62" s="296">
        <v>53</v>
      </c>
      <c r="L62" s="348"/>
      <c r="M62" s="332"/>
      <c r="N62" s="403"/>
      <c r="O62" s="297"/>
      <c r="P62" s="418"/>
      <c r="Q62" s="350"/>
      <c r="R62" s="362"/>
      <c r="T62" s="296">
        <v>53</v>
      </c>
      <c r="U62" s="348"/>
      <c r="V62" s="444"/>
      <c r="W62" s="444"/>
      <c r="X62" s="444"/>
      <c r="Y62" s="445"/>
    </row>
    <row r="63" spans="1:25" x14ac:dyDescent="0.2">
      <c r="B63" s="296">
        <v>54</v>
      </c>
      <c r="C63" s="348"/>
      <c r="D63" s="332"/>
      <c r="E63" s="403"/>
      <c r="F63" s="297"/>
      <c r="G63" s="418"/>
      <c r="H63" s="350"/>
      <c r="I63" s="362"/>
      <c r="K63" s="296">
        <v>54</v>
      </c>
      <c r="L63" s="348"/>
      <c r="M63" s="332"/>
      <c r="N63" s="403"/>
      <c r="O63" s="297"/>
      <c r="P63" s="418"/>
      <c r="Q63" s="350"/>
      <c r="R63" s="362"/>
      <c r="T63" s="296">
        <v>54</v>
      </c>
      <c r="U63" s="348"/>
      <c r="V63" s="444"/>
      <c r="W63" s="444"/>
      <c r="X63" s="444"/>
      <c r="Y63" s="445"/>
    </row>
    <row r="64" spans="1:25" x14ac:dyDescent="0.2">
      <c r="B64" s="296">
        <v>55</v>
      </c>
      <c r="C64" s="363" t="s">
        <v>178</v>
      </c>
      <c r="D64" s="332"/>
      <c r="E64" s="409"/>
      <c r="F64" s="332"/>
      <c r="G64" s="418"/>
      <c r="H64" s="350">
        <v>119683321.37787147</v>
      </c>
      <c r="I64" s="362"/>
      <c r="J64" s="365"/>
      <c r="K64" s="296">
        <v>55</v>
      </c>
      <c r="L64" s="363" t="s">
        <v>178</v>
      </c>
      <c r="M64" s="332"/>
      <c r="N64" s="409"/>
      <c r="O64" s="332"/>
      <c r="P64" s="418"/>
      <c r="Q64" s="350">
        <v>121435790.4279424</v>
      </c>
      <c r="R64" s="362"/>
      <c r="T64" s="296">
        <v>55</v>
      </c>
      <c r="U64" s="363" t="s">
        <v>178</v>
      </c>
      <c r="V64" s="446">
        <v>-1752469.0500709265</v>
      </c>
      <c r="W64" s="444"/>
      <c r="X64" s="444"/>
      <c r="Y64" s="445">
        <v>-1.4431240113768659E-2</v>
      </c>
    </row>
    <row r="65" spans="2:25" x14ac:dyDescent="0.2">
      <c r="B65" s="296">
        <v>56</v>
      </c>
      <c r="C65" s="348"/>
      <c r="D65" s="332"/>
      <c r="E65" s="410"/>
      <c r="F65" s="297"/>
      <c r="G65" s="416"/>
      <c r="H65" s="350"/>
      <c r="I65" s="362"/>
      <c r="K65" s="296">
        <v>56</v>
      </c>
      <c r="L65" s="348"/>
      <c r="M65" s="332"/>
      <c r="N65" s="410"/>
      <c r="O65" s="297"/>
      <c r="P65" s="416"/>
      <c r="Q65" s="350"/>
      <c r="R65" s="362"/>
      <c r="T65" s="296">
        <v>56</v>
      </c>
      <c r="U65" s="348"/>
      <c r="V65" s="444"/>
      <c r="W65" s="444"/>
      <c r="X65" s="444"/>
      <c r="Y65" s="445"/>
    </row>
    <row r="66" spans="2:25" x14ac:dyDescent="0.2">
      <c r="B66" s="296">
        <v>57</v>
      </c>
      <c r="C66" s="332" t="s">
        <v>133</v>
      </c>
      <c r="D66" s="297"/>
      <c r="E66" s="403"/>
      <c r="F66" s="297"/>
      <c r="G66" s="416"/>
      <c r="H66" s="341"/>
      <c r="I66" s="334"/>
      <c r="K66" s="296">
        <v>57</v>
      </c>
      <c r="L66" s="332" t="s">
        <v>133</v>
      </c>
      <c r="M66" s="297"/>
      <c r="N66" s="403"/>
      <c r="O66" s="297"/>
      <c r="P66" s="416"/>
      <c r="Q66" s="341"/>
      <c r="R66" s="334"/>
      <c r="T66" s="296">
        <v>57</v>
      </c>
      <c r="U66" s="332" t="s">
        <v>133</v>
      </c>
      <c r="V66" s="444"/>
      <c r="W66" s="444"/>
      <c r="X66" s="444"/>
      <c r="Y66" s="445"/>
    </row>
    <row r="67" spans="2:25" x14ac:dyDescent="0.2">
      <c r="B67" s="296">
        <v>58</v>
      </c>
      <c r="C67" s="332"/>
      <c r="D67" s="297"/>
      <c r="E67" s="414"/>
      <c r="F67" s="297"/>
      <c r="G67" s="416"/>
      <c r="H67" s="341"/>
      <c r="I67" s="334"/>
      <c r="K67" s="296">
        <v>58</v>
      </c>
      <c r="L67" s="332"/>
      <c r="M67" s="297"/>
      <c r="N67" s="414"/>
      <c r="O67" s="297"/>
      <c r="P67" s="416"/>
      <c r="Q67" s="341"/>
      <c r="R67" s="334"/>
      <c r="T67" s="296">
        <v>58</v>
      </c>
      <c r="U67" s="332"/>
      <c r="V67" s="444"/>
      <c r="W67" s="444"/>
      <c r="X67" s="444"/>
      <c r="Y67" s="445"/>
    </row>
    <row r="68" spans="2:25" x14ac:dyDescent="0.2">
      <c r="B68" s="296">
        <v>59</v>
      </c>
      <c r="C68" s="332" t="s">
        <v>134</v>
      </c>
      <c r="D68" s="297"/>
      <c r="E68" s="403"/>
      <c r="F68" s="297"/>
      <c r="G68" s="416"/>
      <c r="H68" s="341"/>
      <c r="I68" s="366"/>
      <c r="K68" s="296">
        <v>59</v>
      </c>
      <c r="L68" s="332" t="s">
        <v>134</v>
      </c>
      <c r="M68" s="297"/>
      <c r="N68" s="403"/>
      <c r="O68" s="297"/>
      <c r="P68" s="416"/>
      <c r="Q68" s="341"/>
      <c r="R68" s="366"/>
      <c r="T68" s="296">
        <v>59</v>
      </c>
      <c r="U68" s="332" t="s">
        <v>134</v>
      </c>
      <c r="V68" s="444"/>
      <c r="W68" s="444"/>
      <c r="X68" s="444"/>
      <c r="Y68" s="445"/>
    </row>
    <row r="69" spans="2:25" x14ac:dyDescent="0.2">
      <c r="B69" s="296">
        <v>60</v>
      </c>
      <c r="C69" s="367" t="s">
        <v>134</v>
      </c>
      <c r="D69" s="297" t="s">
        <v>1</v>
      </c>
      <c r="E69" s="403">
        <v>92375786</v>
      </c>
      <c r="F69" s="297" t="s">
        <v>173</v>
      </c>
      <c r="G69" s="423"/>
      <c r="H69" s="368"/>
      <c r="I69" s="431"/>
      <c r="K69" s="296">
        <v>60</v>
      </c>
      <c r="L69" s="367" t="s">
        <v>134</v>
      </c>
      <c r="M69" s="297" t="s">
        <v>1</v>
      </c>
      <c r="N69" s="403">
        <v>91540818</v>
      </c>
      <c r="O69" s="297" t="s">
        <v>173</v>
      </c>
      <c r="P69" s="423"/>
      <c r="Q69" s="368"/>
      <c r="R69" s="431"/>
      <c r="T69" s="296">
        <v>60</v>
      </c>
      <c r="U69" s="297" t="s">
        <v>134</v>
      </c>
      <c r="V69" s="444"/>
      <c r="W69" s="452"/>
      <c r="X69" s="372"/>
      <c r="Y69" s="454"/>
    </row>
    <row r="70" spans="2:25" x14ac:dyDescent="0.2">
      <c r="B70" s="296">
        <v>61</v>
      </c>
      <c r="C70" s="348" t="s">
        <v>39</v>
      </c>
      <c r="D70" s="297"/>
      <c r="E70" s="403"/>
      <c r="F70" s="297"/>
      <c r="G70" s="424"/>
      <c r="H70" s="370"/>
      <c r="I70" s="371"/>
      <c r="K70" s="296">
        <v>61</v>
      </c>
      <c r="L70" s="348" t="s">
        <v>39</v>
      </c>
      <c r="M70" s="297"/>
      <c r="N70" s="403"/>
      <c r="O70" s="297"/>
      <c r="P70" s="424"/>
      <c r="Q70" s="370"/>
      <c r="R70" s="371"/>
      <c r="T70" s="296">
        <v>61</v>
      </c>
      <c r="U70" s="348" t="s">
        <v>39</v>
      </c>
      <c r="V70" s="444"/>
      <c r="W70" s="455"/>
      <c r="X70" s="456"/>
      <c r="Y70" s="457"/>
    </row>
    <row r="71" spans="2:25" x14ac:dyDescent="0.2">
      <c r="B71" s="296">
        <v>62</v>
      </c>
      <c r="C71" s="297"/>
      <c r="D71" s="297"/>
      <c r="E71" s="403"/>
      <c r="F71" s="297"/>
      <c r="G71" s="424"/>
      <c r="H71" s="341"/>
      <c r="I71" s="334"/>
      <c r="K71" s="296">
        <v>62</v>
      </c>
      <c r="L71" s="297"/>
      <c r="M71" s="297"/>
      <c r="N71" s="403"/>
      <c r="O71" s="297"/>
      <c r="P71" s="424"/>
      <c r="Q71" s="341"/>
      <c r="R71" s="334"/>
      <c r="T71" s="296">
        <v>62</v>
      </c>
      <c r="U71" s="297"/>
      <c r="V71" s="444"/>
      <c r="W71" s="443"/>
      <c r="X71" s="443"/>
      <c r="Y71" s="451"/>
    </row>
    <row r="72" spans="2:25" x14ac:dyDescent="0.2">
      <c r="B72" s="296">
        <v>63</v>
      </c>
      <c r="C72" s="332" t="s">
        <v>135</v>
      </c>
      <c r="D72" s="297"/>
      <c r="E72" s="403"/>
      <c r="F72" s="297"/>
      <c r="G72" s="424"/>
      <c r="H72" s="341"/>
      <c r="I72" s="334"/>
      <c r="K72" s="296">
        <v>63</v>
      </c>
      <c r="L72" s="332" t="s">
        <v>135</v>
      </c>
      <c r="M72" s="297"/>
      <c r="N72" s="403"/>
      <c r="O72" s="297"/>
      <c r="P72" s="424"/>
      <c r="Q72" s="341"/>
      <c r="R72" s="434"/>
      <c r="T72" s="296">
        <v>63</v>
      </c>
      <c r="U72" s="332" t="s">
        <v>135</v>
      </c>
      <c r="V72" s="444"/>
      <c r="W72" s="443"/>
      <c r="X72" s="443"/>
      <c r="Y72" s="447"/>
    </row>
    <row r="73" spans="2:25" x14ac:dyDescent="0.2">
      <c r="B73" s="296">
        <v>64</v>
      </c>
      <c r="C73" s="297" t="s">
        <v>136</v>
      </c>
      <c r="D73" s="297" t="s">
        <v>45</v>
      </c>
      <c r="E73" s="412"/>
      <c r="F73" s="347"/>
      <c r="G73" s="417"/>
      <c r="H73" s="372"/>
      <c r="I73" s="432"/>
      <c r="K73" s="296">
        <v>64</v>
      </c>
      <c r="L73" s="297" t="s">
        <v>136</v>
      </c>
      <c r="M73" s="297" t="s">
        <v>45</v>
      </c>
      <c r="N73" s="412"/>
      <c r="O73" s="347"/>
      <c r="P73" s="417"/>
      <c r="Q73" s="372"/>
      <c r="R73" s="432"/>
      <c r="T73" s="296">
        <v>64</v>
      </c>
      <c r="U73" s="297" t="s">
        <v>136</v>
      </c>
      <c r="V73" s="444"/>
      <c r="W73" s="452"/>
      <c r="X73" s="453"/>
      <c r="Y73" s="454"/>
    </row>
    <row r="74" spans="2:25" x14ac:dyDescent="0.2">
      <c r="B74" s="296">
        <v>65</v>
      </c>
      <c r="C74" s="297" t="s">
        <v>137</v>
      </c>
      <c r="D74" s="339" t="s">
        <v>138</v>
      </c>
      <c r="E74" s="413"/>
      <c r="F74" s="361"/>
      <c r="G74" s="421"/>
      <c r="H74" s="373"/>
      <c r="I74" s="433"/>
      <c r="K74" s="296">
        <v>65</v>
      </c>
      <c r="L74" s="297" t="s">
        <v>137</v>
      </c>
      <c r="M74" s="339" t="s">
        <v>138</v>
      </c>
      <c r="N74" s="413"/>
      <c r="O74" s="361"/>
      <c r="P74" s="421"/>
      <c r="Q74" s="373"/>
      <c r="R74" s="433"/>
      <c r="T74" s="296">
        <v>65</v>
      </c>
      <c r="U74" s="297" t="s">
        <v>137</v>
      </c>
      <c r="V74" s="444"/>
      <c r="W74" s="455"/>
      <c r="X74" s="456"/>
      <c r="Y74" s="457"/>
    </row>
    <row r="75" spans="2:25" x14ac:dyDescent="0.2">
      <c r="B75" s="296">
        <v>66</v>
      </c>
      <c r="C75" s="348" t="s">
        <v>39</v>
      </c>
      <c r="D75" s="339"/>
      <c r="E75" s="410"/>
      <c r="F75" s="297"/>
      <c r="G75" s="416"/>
      <c r="H75" s="341"/>
      <c r="I75" s="374">
        <v>222215.48745467997</v>
      </c>
      <c r="K75" s="296">
        <v>66</v>
      </c>
      <c r="L75" s="348" t="s">
        <v>39</v>
      </c>
      <c r="M75" s="339"/>
      <c r="N75" s="410"/>
      <c r="O75" s="297"/>
      <c r="P75" s="416"/>
      <c r="Q75" s="341"/>
      <c r="R75" s="374">
        <v>216187.10257762001</v>
      </c>
      <c r="T75" s="296">
        <v>66</v>
      </c>
      <c r="U75" s="348" t="s">
        <v>39</v>
      </c>
      <c r="V75" s="444"/>
      <c r="W75" s="443">
        <v>6028.3848770599579</v>
      </c>
      <c r="X75" s="443"/>
      <c r="Y75" s="451">
        <v>2.7885034792468812E-2</v>
      </c>
    </row>
    <row r="76" spans="2:25" x14ac:dyDescent="0.2">
      <c r="B76" s="296">
        <v>67</v>
      </c>
      <c r="C76" s="297"/>
      <c r="D76" s="297"/>
      <c r="E76" s="410"/>
      <c r="F76" s="297"/>
      <c r="G76" s="416"/>
      <c r="H76" s="341"/>
      <c r="I76" s="334"/>
      <c r="K76" s="296">
        <v>67</v>
      </c>
      <c r="L76" s="297"/>
      <c r="M76" s="297"/>
      <c r="N76" s="410"/>
      <c r="O76" s="297"/>
      <c r="P76" s="416"/>
      <c r="Q76" s="341"/>
      <c r="R76" s="334"/>
      <c r="T76" s="296">
        <v>67</v>
      </c>
      <c r="U76" s="297"/>
      <c r="V76" s="444"/>
      <c r="W76" s="444"/>
      <c r="X76" s="444"/>
      <c r="Y76" s="445"/>
    </row>
    <row r="77" spans="2:25" x14ac:dyDescent="0.2">
      <c r="B77" s="296">
        <v>68</v>
      </c>
      <c r="C77" s="332" t="s">
        <v>139</v>
      </c>
      <c r="D77" s="301"/>
      <c r="E77" s="403"/>
      <c r="F77" s="297"/>
      <c r="G77" s="416"/>
      <c r="H77" s="301"/>
      <c r="I77" s="302"/>
      <c r="K77" s="296">
        <v>68</v>
      </c>
      <c r="L77" s="332" t="s">
        <v>139</v>
      </c>
      <c r="M77" s="301"/>
      <c r="N77" s="403"/>
      <c r="O77" s="297"/>
      <c r="P77" s="416"/>
      <c r="Q77" s="301"/>
      <c r="R77" s="302"/>
      <c r="T77" s="296">
        <v>68</v>
      </c>
      <c r="U77" s="332" t="s">
        <v>139</v>
      </c>
      <c r="V77" s="444"/>
      <c r="W77" s="443"/>
      <c r="X77" s="443"/>
      <c r="Y77" s="445"/>
    </row>
    <row r="78" spans="2:25" x14ac:dyDescent="0.2">
      <c r="B78" s="296">
        <v>69</v>
      </c>
      <c r="C78" s="301" t="s">
        <v>140</v>
      </c>
      <c r="D78" s="301"/>
      <c r="E78" s="403">
        <v>92619564.092999995</v>
      </c>
      <c r="F78" s="297" t="s">
        <v>173</v>
      </c>
      <c r="G78" s="416">
        <v>3.3247561664285843E-2</v>
      </c>
      <c r="H78" s="341"/>
      <c r="I78" s="434">
        <v>3079374.6685012924</v>
      </c>
      <c r="K78" s="296">
        <v>69</v>
      </c>
      <c r="L78" s="301" t="s">
        <v>140</v>
      </c>
      <c r="M78" s="301"/>
      <c r="N78" s="403">
        <v>91567938.107999995</v>
      </c>
      <c r="O78" s="297" t="s">
        <v>173</v>
      </c>
      <c r="P78" s="416">
        <v>3.4632057630879322E-2</v>
      </c>
      <c r="Q78" s="341"/>
      <c r="R78" s="334">
        <v>3171186.1096970467</v>
      </c>
      <c r="T78" s="296">
        <v>69</v>
      </c>
      <c r="U78" s="301" t="s">
        <v>140</v>
      </c>
      <c r="V78" s="444"/>
      <c r="W78" s="458">
        <v>-91811.441195754334</v>
      </c>
      <c r="X78" s="458"/>
      <c r="Y78" s="447">
        <v>-2.8951766947706948E-2</v>
      </c>
    </row>
    <row r="79" spans="2:25" x14ac:dyDescent="0.2">
      <c r="B79" s="296">
        <v>70</v>
      </c>
      <c r="C79" s="301" t="s">
        <v>141</v>
      </c>
      <c r="D79" s="301"/>
      <c r="E79" s="415"/>
      <c r="F79" s="375"/>
      <c r="G79" s="425"/>
      <c r="H79" s="368"/>
      <c r="I79" s="435"/>
      <c r="K79" s="296">
        <v>70</v>
      </c>
      <c r="L79" s="301" t="s">
        <v>141</v>
      </c>
      <c r="M79" s="301"/>
      <c r="N79" s="415"/>
      <c r="O79" s="375"/>
      <c r="P79" s="425"/>
      <c r="Q79" s="368"/>
      <c r="R79" s="376"/>
      <c r="T79" s="296">
        <v>70</v>
      </c>
      <c r="U79" s="301" t="s">
        <v>141</v>
      </c>
      <c r="V79" s="444"/>
      <c r="W79" s="448"/>
      <c r="X79" s="449"/>
      <c r="Y79" s="450"/>
    </row>
    <row r="80" spans="2:25" x14ac:dyDescent="0.2">
      <c r="B80" s="296">
        <v>71</v>
      </c>
      <c r="C80" s="348" t="s">
        <v>39</v>
      </c>
      <c r="D80" s="297"/>
      <c r="E80" s="410"/>
      <c r="F80" s="297"/>
      <c r="G80" s="416"/>
      <c r="H80" s="341"/>
      <c r="I80" s="374">
        <v>3655110.5493214023</v>
      </c>
      <c r="K80" s="296">
        <v>71</v>
      </c>
      <c r="L80" s="348" t="s">
        <v>39</v>
      </c>
      <c r="M80" s="297"/>
      <c r="N80" s="410"/>
      <c r="O80" s="297"/>
      <c r="P80" s="416"/>
      <c r="Q80" s="341"/>
      <c r="R80" s="374">
        <v>3718555.4984074864</v>
      </c>
      <c r="T80" s="296">
        <v>71</v>
      </c>
      <c r="U80" s="348" t="s">
        <v>39</v>
      </c>
      <c r="V80" s="444"/>
      <c r="W80" s="443">
        <v>-63444.949086084031</v>
      </c>
      <c r="X80" s="443"/>
      <c r="Y80" s="451">
        <v>-1.7061719023221532E-2</v>
      </c>
    </row>
    <row r="81" spans="1:25" x14ac:dyDescent="0.2">
      <c r="B81" s="296">
        <v>72</v>
      </c>
      <c r="C81" s="297"/>
      <c r="D81" s="297"/>
      <c r="E81" s="410"/>
      <c r="F81" s="297"/>
      <c r="G81" s="416"/>
      <c r="H81" s="341"/>
      <c r="I81" s="334"/>
      <c r="K81" s="296">
        <v>72</v>
      </c>
      <c r="L81" s="297"/>
      <c r="M81" s="297"/>
      <c r="N81" s="410"/>
      <c r="O81" s="297"/>
      <c r="P81" s="416"/>
      <c r="Q81" s="341"/>
      <c r="R81" s="334"/>
      <c r="T81" s="296">
        <v>72</v>
      </c>
      <c r="U81" s="297"/>
      <c r="V81" s="444"/>
      <c r="W81" s="443"/>
      <c r="X81" s="443"/>
      <c r="Y81" s="445"/>
    </row>
    <row r="82" spans="1:25" x14ac:dyDescent="0.2">
      <c r="B82" s="296">
        <v>73</v>
      </c>
      <c r="C82" s="332" t="s">
        <v>142</v>
      </c>
      <c r="D82" s="301"/>
      <c r="E82" s="410"/>
      <c r="F82" s="297"/>
      <c r="G82" s="416"/>
      <c r="H82" s="301"/>
      <c r="I82" s="302"/>
      <c r="K82" s="296">
        <v>73</v>
      </c>
      <c r="L82" s="332" t="s">
        <v>142</v>
      </c>
      <c r="M82" s="301"/>
      <c r="N82" s="410"/>
      <c r="O82" s="297"/>
      <c r="P82" s="416"/>
      <c r="Q82" s="301"/>
      <c r="R82" s="302"/>
      <c r="T82" s="296">
        <v>73</v>
      </c>
      <c r="U82" s="332" t="s">
        <v>142</v>
      </c>
      <c r="V82" s="444"/>
      <c r="W82" s="443"/>
      <c r="X82" s="443"/>
      <c r="Y82" s="447"/>
    </row>
    <row r="83" spans="1:25" x14ac:dyDescent="0.2">
      <c r="B83" s="296">
        <v>74</v>
      </c>
      <c r="C83" s="297" t="s">
        <v>9</v>
      </c>
      <c r="D83" s="297" t="s">
        <v>1</v>
      </c>
      <c r="E83" s="412"/>
      <c r="F83" s="347"/>
      <c r="G83" s="426"/>
      <c r="H83" s="372"/>
      <c r="I83" s="432"/>
      <c r="K83" s="296">
        <v>74</v>
      </c>
      <c r="L83" s="297" t="s">
        <v>9</v>
      </c>
      <c r="M83" s="297" t="s">
        <v>1</v>
      </c>
      <c r="N83" s="412"/>
      <c r="O83" s="347"/>
      <c r="P83" s="426"/>
      <c r="Q83" s="372"/>
      <c r="R83" s="432"/>
      <c r="T83" s="296">
        <v>74</v>
      </c>
      <c r="U83" s="297" t="s">
        <v>9</v>
      </c>
      <c r="V83" s="444"/>
      <c r="W83" s="452"/>
      <c r="X83" s="453"/>
      <c r="Y83" s="454"/>
    </row>
    <row r="84" spans="1:25" x14ac:dyDescent="0.2">
      <c r="B84" s="296">
        <v>75</v>
      </c>
      <c r="C84" s="297" t="s">
        <v>8</v>
      </c>
      <c r="D84" s="297" t="s">
        <v>1</v>
      </c>
      <c r="E84" s="413"/>
      <c r="F84" s="361"/>
      <c r="G84" s="427"/>
      <c r="H84" s="373"/>
      <c r="I84" s="436"/>
      <c r="K84" s="296">
        <v>75</v>
      </c>
      <c r="L84" s="297" t="s">
        <v>8</v>
      </c>
      <c r="M84" s="297" t="s">
        <v>1</v>
      </c>
      <c r="N84" s="413"/>
      <c r="O84" s="361"/>
      <c r="P84" s="427"/>
      <c r="Q84" s="373"/>
      <c r="R84" s="436"/>
      <c r="T84" s="296">
        <v>75</v>
      </c>
      <c r="U84" s="297" t="s">
        <v>8</v>
      </c>
      <c r="V84" s="444"/>
      <c r="W84" s="455"/>
      <c r="X84" s="456"/>
      <c r="Y84" s="457"/>
    </row>
    <row r="85" spans="1:25" x14ac:dyDescent="0.2">
      <c r="B85" s="296">
        <v>76</v>
      </c>
      <c r="C85" s="348" t="s">
        <v>39</v>
      </c>
      <c r="D85" s="297"/>
      <c r="E85" s="403"/>
      <c r="F85" s="297"/>
      <c r="G85" s="416"/>
      <c r="H85" s="341"/>
      <c r="I85" s="374">
        <v>1773722.4456756487</v>
      </c>
      <c r="K85" s="296">
        <v>76</v>
      </c>
      <c r="L85" s="348" t="s">
        <v>39</v>
      </c>
      <c r="M85" s="297"/>
      <c r="N85" s="403"/>
      <c r="O85" s="297"/>
      <c r="P85" s="416"/>
      <c r="Q85" s="341"/>
      <c r="R85" s="374">
        <v>3641670.0051343888</v>
      </c>
      <c r="T85" s="296">
        <v>76</v>
      </c>
      <c r="U85" s="348" t="s">
        <v>39</v>
      </c>
      <c r="V85" s="444"/>
      <c r="W85" s="443">
        <v>-1867947.5594587401</v>
      </c>
      <c r="X85" s="443"/>
      <c r="Y85" s="451">
        <v>-0.51293707470065153</v>
      </c>
    </row>
    <row r="86" spans="1:25" x14ac:dyDescent="0.2">
      <c r="B86" s="296">
        <v>77</v>
      </c>
      <c r="C86" s="297"/>
      <c r="D86" s="297"/>
      <c r="E86" s="410"/>
      <c r="F86" s="297"/>
      <c r="G86" s="416"/>
      <c r="H86" s="341"/>
      <c r="I86" s="334"/>
      <c r="K86" s="296">
        <v>77</v>
      </c>
      <c r="L86" s="297"/>
      <c r="M86" s="297"/>
      <c r="N86" s="410"/>
      <c r="O86" s="297"/>
      <c r="P86" s="416"/>
      <c r="Q86" s="341"/>
      <c r="R86" s="334"/>
      <c r="T86" s="296">
        <v>77</v>
      </c>
      <c r="U86" s="297"/>
      <c r="V86" s="444"/>
      <c r="W86" s="443"/>
      <c r="X86" s="443"/>
      <c r="Y86" s="445"/>
    </row>
    <row r="87" spans="1:25" x14ac:dyDescent="0.2">
      <c r="B87" s="296">
        <v>78</v>
      </c>
      <c r="C87" s="332" t="s">
        <v>143</v>
      </c>
      <c r="D87" s="297"/>
      <c r="E87" s="410"/>
      <c r="F87" s="297"/>
      <c r="G87" s="416"/>
      <c r="H87" s="341"/>
      <c r="I87" s="366"/>
      <c r="K87" s="296">
        <v>78</v>
      </c>
      <c r="L87" s="332" t="s">
        <v>143</v>
      </c>
      <c r="M87" s="297"/>
      <c r="N87" s="410"/>
      <c r="O87" s="297"/>
      <c r="P87" s="416"/>
      <c r="Q87" s="341"/>
      <c r="R87" s="366"/>
      <c r="T87" s="296">
        <v>78</v>
      </c>
      <c r="U87" s="332" t="s">
        <v>143</v>
      </c>
      <c r="V87" s="444"/>
      <c r="W87" s="443"/>
      <c r="X87" s="443"/>
      <c r="Y87" s="445"/>
    </row>
    <row r="88" spans="1:25" x14ac:dyDescent="0.2">
      <c r="B88" s="296">
        <v>79</v>
      </c>
      <c r="C88" s="377" t="s">
        <v>144</v>
      </c>
      <c r="D88" s="301" t="s">
        <v>1</v>
      </c>
      <c r="E88" s="415"/>
      <c r="F88" s="375"/>
      <c r="G88" s="425"/>
      <c r="H88" s="368"/>
      <c r="I88" s="437"/>
      <c r="K88" s="296">
        <v>79</v>
      </c>
      <c r="L88" s="377" t="s">
        <v>144</v>
      </c>
      <c r="M88" s="301" t="s">
        <v>1</v>
      </c>
      <c r="N88" s="415"/>
      <c r="O88" s="375"/>
      <c r="P88" s="439"/>
      <c r="Q88" s="368"/>
      <c r="R88" s="437"/>
      <c r="T88" s="296">
        <v>79</v>
      </c>
      <c r="U88" s="301" t="s">
        <v>144</v>
      </c>
      <c r="V88" s="444"/>
      <c r="W88" s="525"/>
      <c r="X88" s="535"/>
      <c r="Y88" s="527"/>
    </row>
    <row r="89" spans="1:25" x14ac:dyDescent="0.2">
      <c r="B89" s="296">
        <v>80</v>
      </c>
      <c r="C89" s="301" t="s">
        <v>39</v>
      </c>
      <c r="D89" s="301"/>
      <c r="E89" s="352"/>
      <c r="F89" s="297"/>
      <c r="G89" s="333"/>
      <c r="H89" s="350"/>
      <c r="I89" s="357"/>
      <c r="K89" s="296">
        <v>80</v>
      </c>
      <c r="L89" s="301" t="s">
        <v>39</v>
      </c>
      <c r="M89" s="301"/>
      <c r="N89" s="410"/>
      <c r="O89" s="297"/>
      <c r="P89" s="333"/>
      <c r="Q89" s="350"/>
      <c r="R89" s="357"/>
      <c r="T89" s="296">
        <v>80</v>
      </c>
      <c r="U89" s="301" t="s">
        <v>39</v>
      </c>
      <c r="V89" s="444"/>
      <c r="W89" s="526"/>
      <c r="X89" s="536"/>
      <c r="Y89" s="528"/>
    </row>
    <row r="90" spans="1:25" x14ac:dyDescent="0.2">
      <c r="B90" s="296">
        <v>81</v>
      </c>
      <c r="C90" s="301"/>
      <c r="D90" s="301"/>
      <c r="E90" s="352"/>
      <c r="F90" s="297"/>
      <c r="G90" s="333"/>
      <c r="H90" s="301"/>
      <c r="I90" s="302"/>
      <c r="K90" s="296">
        <v>81</v>
      </c>
      <c r="L90" s="301"/>
      <c r="M90" s="301"/>
      <c r="N90" s="352"/>
      <c r="O90" s="297"/>
      <c r="P90" s="333"/>
      <c r="Q90" s="301"/>
      <c r="R90" s="302"/>
      <c r="T90" s="296">
        <v>81</v>
      </c>
      <c r="U90" s="301"/>
      <c r="V90" s="444"/>
      <c r="W90" s="443"/>
      <c r="X90" s="443"/>
      <c r="Y90" s="445"/>
    </row>
    <row r="91" spans="1:25" x14ac:dyDescent="0.2">
      <c r="B91" s="296">
        <v>82</v>
      </c>
      <c r="C91" s="332" t="s">
        <v>77</v>
      </c>
      <c r="D91" s="301"/>
      <c r="E91" s="352"/>
      <c r="F91" s="297"/>
      <c r="G91" s="333"/>
      <c r="H91" s="301"/>
      <c r="I91" s="302"/>
      <c r="K91" s="296">
        <v>82</v>
      </c>
      <c r="L91" s="332" t="s">
        <v>77</v>
      </c>
      <c r="M91" s="301"/>
      <c r="N91" s="352"/>
      <c r="O91" s="297"/>
      <c r="P91" s="333"/>
      <c r="Q91" s="301"/>
      <c r="R91" s="302"/>
      <c r="T91" s="296">
        <v>82</v>
      </c>
      <c r="U91" s="332" t="s">
        <v>77</v>
      </c>
      <c r="V91" s="444"/>
      <c r="W91" s="443"/>
      <c r="X91" s="443"/>
      <c r="Y91" s="445"/>
    </row>
    <row r="92" spans="1:25" x14ac:dyDescent="0.2">
      <c r="B92" s="296">
        <v>83</v>
      </c>
      <c r="C92" s="297" t="s">
        <v>145</v>
      </c>
      <c r="D92" s="297" t="s">
        <v>1</v>
      </c>
      <c r="E92" s="378"/>
      <c r="F92" s="378"/>
      <c r="G92" s="378"/>
      <c r="H92" s="378"/>
      <c r="I92" s="438"/>
      <c r="K92" s="296">
        <v>83</v>
      </c>
      <c r="L92" s="297" t="s">
        <v>145</v>
      </c>
      <c r="M92" s="297" t="s">
        <v>1</v>
      </c>
      <c r="N92" s="378"/>
      <c r="O92" s="378"/>
      <c r="P92" s="378"/>
      <c r="Q92" s="378"/>
      <c r="R92" s="438"/>
      <c r="T92" s="296">
        <v>83</v>
      </c>
      <c r="U92" s="297" t="s">
        <v>145</v>
      </c>
      <c r="V92" s="444"/>
      <c r="W92" s="525"/>
      <c r="X92" s="535"/>
      <c r="Y92" s="527"/>
    </row>
    <row r="93" spans="1:25" x14ac:dyDescent="0.2">
      <c r="B93" s="296">
        <v>84</v>
      </c>
      <c r="C93" s="348" t="s">
        <v>39</v>
      </c>
      <c r="D93" s="301"/>
      <c r="E93" s="352"/>
      <c r="F93" s="297"/>
      <c r="G93" s="333"/>
      <c r="H93" s="301"/>
      <c r="I93" s="371"/>
      <c r="K93" s="296">
        <v>84</v>
      </c>
      <c r="L93" s="348" t="s">
        <v>39</v>
      </c>
      <c r="M93" s="301"/>
      <c r="N93" s="352"/>
      <c r="O93" s="297"/>
      <c r="P93" s="333"/>
      <c r="Q93" s="301"/>
      <c r="R93" s="371"/>
      <c r="T93" s="296">
        <v>84</v>
      </c>
      <c r="U93" s="348" t="s">
        <v>39</v>
      </c>
      <c r="V93" s="444"/>
      <c r="W93" s="526"/>
      <c r="X93" s="536"/>
      <c r="Y93" s="528"/>
    </row>
    <row r="94" spans="1:25" x14ac:dyDescent="0.2">
      <c r="B94" s="296">
        <v>85</v>
      </c>
      <c r="C94" s="301"/>
      <c r="D94" s="301"/>
      <c r="E94" s="352"/>
      <c r="F94" s="297"/>
      <c r="G94" s="333"/>
      <c r="H94" s="301"/>
      <c r="I94" s="302"/>
      <c r="K94" s="296">
        <v>85</v>
      </c>
      <c r="L94" s="301"/>
      <c r="M94" s="301"/>
      <c r="N94" s="352"/>
      <c r="O94" s="297"/>
      <c r="P94" s="333"/>
      <c r="Q94" s="301"/>
      <c r="R94" s="302"/>
      <c r="T94" s="296">
        <v>85</v>
      </c>
      <c r="U94" s="301"/>
      <c r="V94" s="444"/>
      <c r="W94" s="443"/>
      <c r="X94" s="443"/>
      <c r="Y94" s="445"/>
    </row>
    <row r="95" spans="1:25" x14ac:dyDescent="0.2">
      <c r="A95" s="336"/>
      <c r="B95" s="296">
        <v>86</v>
      </c>
      <c r="C95" s="353" t="s">
        <v>179</v>
      </c>
      <c r="D95" s="332"/>
      <c r="E95" s="364">
        <v>92375786</v>
      </c>
      <c r="F95" s="332" t="s">
        <v>173</v>
      </c>
      <c r="G95" s="379"/>
      <c r="H95" s="350"/>
      <c r="I95" s="362">
        <v>348253096.72485787</v>
      </c>
      <c r="J95" s="380"/>
      <c r="K95" s="296">
        <v>86</v>
      </c>
      <c r="L95" s="353" t="s">
        <v>179</v>
      </c>
      <c r="M95" s="332"/>
      <c r="N95" s="364">
        <v>91540818</v>
      </c>
      <c r="O95" s="332" t="s">
        <v>173</v>
      </c>
      <c r="P95" s="379"/>
      <c r="Q95" s="350"/>
      <c r="R95" s="440">
        <v>348100903.63468373</v>
      </c>
      <c r="T95" s="296">
        <v>86</v>
      </c>
      <c r="U95" s="353" t="s">
        <v>179</v>
      </c>
      <c r="V95" s="444"/>
      <c r="W95" s="446">
        <v>152193.09017413855</v>
      </c>
      <c r="X95" s="443"/>
      <c r="Y95" s="459">
        <v>4.3720969576642742E-4</v>
      </c>
    </row>
    <row r="96" spans="1:25" x14ac:dyDescent="0.2">
      <c r="A96" s="336"/>
      <c r="B96" s="296">
        <v>87</v>
      </c>
      <c r="C96" s="353" t="s">
        <v>178</v>
      </c>
      <c r="D96" s="332"/>
      <c r="E96" s="469"/>
      <c r="F96" s="332"/>
      <c r="G96" s="349"/>
      <c r="H96" s="381">
        <v>119683321.37787147</v>
      </c>
      <c r="I96" s="470"/>
      <c r="J96" s="380"/>
      <c r="K96" s="296">
        <v>87</v>
      </c>
      <c r="L96" s="353" t="s">
        <v>178</v>
      </c>
      <c r="M96" s="332"/>
      <c r="N96" s="469"/>
      <c r="O96" s="332"/>
      <c r="P96" s="349"/>
      <c r="Q96" s="441">
        <v>121435790.4279424</v>
      </c>
      <c r="R96" s="470"/>
      <c r="T96" s="296">
        <v>87</v>
      </c>
      <c r="U96" s="353" t="s">
        <v>178</v>
      </c>
      <c r="V96" s="446">
        <v>-1752469.0500709265</v>
      </c>
      <c r="W96" s="444"/>
      <c r="X96" s="444"/>
      <c r="Y96" s="459">
        <v>-1.4431240113768659E-2</v>
      </c>
    </row>
    <row r="97" spans="1:28" x14ac:dyDescent="0.2">
      <c r="A97" s="336"/>
      <c r="B97" s="296">
        <v>88</v>
      </c>
      <c r="C97" s="353" t="s">
        <v>180</v>
      </c>
      <c r="D97" s="297"/>
      <c r="E97" s="382"/>
      <c r="F97" s="297"/>
      <c r="G97" s="333"/>
      <c r="H97" s="474"/>
      <c r="I97" s="383">
        <v>467936418.10272932</v>
      </c>
      <c r="J97" s="380"/>
      <c r="K97" s="296">
        <v>88</v>
      </c>
      <c r="L97" s="353" t="s">
        <v>180</v>
      </c>
      <c r="M97" s="297"/>
      <c r="N97" s="382"/>
      <c r="O97" s="297"/>
      <c r="P97" s="333"/>
      <c r="Q97" s="471"/>
      <c r="R97" s="442">
        <v>469536694.06262612</v>
      </c>
      <c r="T97" s="296">
        <v>88</v>
      </c>
      <c r="U97" s="353" t="s">
        <v>180</v>
      </c>
      <c r="V97" s="444"/>
      <c r="W97" s="444"/>
      <c r="X97" s="446">
        <v>-1600275.9598968029</v>
      </c>
      <c r="Y97" s="459">
        <v>-3.4082021280393486E-3</v>
      </c>
    </row>
    <row r="98" spans="1:28" x14ac:dyDescent="0.2">
      <c r="B98" s="296">
        <v>89</v>
      </c>
      <c r="C98" s="353" t="s">
        <v>181</v>
      </c>
      <c r="D98" s="301"/>
      <c r="E98" s="403">
        <v>915997940</v>
      </c>
      <c r="F98" s="297" t="s">
        <v>182</v>
      </c>
      <c r="G98" s="379"/>
      <c r="H98" s="384"/>
      <c r="I98" s="473"/>
      <c r="K98" s="296">
        <v>89</v>
      </c>
      <c r="L98" s="353" t="s">
        <v>181</v>
      </c>
      <c r="M98" s="301"/>
      <c r="N98" s="403">
        <v>905704400</v>
      </c>
      <c r="O98" s="297" t="s">
        <v>182</v>
      </c>
      <c r="P98" s="379"/>
      <c r="Q98" s="384"/>
      <c r="R98" s="472"/>
      <c r="T98" s="296">
        <v>89</v>
      </c>
      <c r="U98" s="353" t="s">
        <v>181</v>
      </c>
      <c r="V98" s="444"/>
      <c r="W98" s="460"/>
      <c r="X98" s="460"/>
      <c r="Y98" s="445"/>
      <c r="AB98" s="386"/>
    </row>
    <row r="99" spans="1:28" x14ac:dyDescent="0.2">
      <c r="B99" s="296">
        <v>90</v>
      </c>
      <c r="C99" s="353" t="s">
        <v>183</v>
      </c>
      <c r="D99" s="387">
        <v>8.4003831913267435E-3</v>
      </c>
      <c r="E99" s="469"/>
      <c r="F99" s="297"/>
      <c r="G99" s="333"/>
      <c r="H99" s="388"/>
      <c r="I99" s="389"/>
      <c r="K99" s="296">
        <v>90</v>
      </c>
      <c r="L99" s="353" t="s">
        <v>183</v>
      </c>
      <c r="M99" s="387">
        <v>1.0600495180193792E-2</v>
      </c>
      <c r="N99" s="469"/>
      <c r="O99" s="297"/>
      <c r="P99" s="333"/>
      <c r="Q99" s="388"/>
      <c r="R99" s="389"/>
      <c r="T99" s="296">
        <v>90</v>
      </c>
      <c r="U99" s="353" t="s">
        <v>184</v>
      </c>
      <c r="V99" s="444"/>
      <c r="W99" s="444"/>
      <c r="X99" s="444"/>
      <c r="Y99" s="461"/>
    </row>
    <row r="100" spans="1:28" x14ac:dyDescent="0.2">
      <c r="B100" s="296">
        <v>91</v>
      </c>
      <c r="C100" s="353" t="s">
        <v>185</v>
      </c>
      <c r="D100" s="301"/>
      <c r="E100" s="390"/>
      <c r="F100" s="301"/>
      <c r="G100" s="301"/>
      <c r="H100" s="384"/>
      <c r="I100" s="385"/>
      <c r="K100" s="296">
        <v>91</v>
      </c>
      <c r="L100" s="353" t="s">
        <v>185</v>
      </c>
      <c r="M100" s="301"/>
      <c r="N100" s="390"/>
      <c r="O100" s="301"/>
      <c r="P100" s="301"/>
      <c r="Q100" s="384"/>
      <c r="R100" s="385"/>
      <c r="T100" s="296">
        <v>91</v>
      </c>
      <c r="U100" s="353" t="s">
        <v>185</v>
      </c>
      <c r="V100" s="444"/>
      <c r="W100" s="444"/>
      <c r="X100" s="444"/>
      <c r="Y100" s="461"/>
    </row>
    <row r="101" spans="1:28" x14ac:dyDescent="0.2">
      <c r="B101" s="296">
        <v>92</v>
      </c>
      <c r="C101" s="297" t="s">
        <v>2</v>
      </c>
      <c r="D101" s="297"/>
      <c r="E101" s="299"/>
      <c r="F101" s="297"/>
      <c r="G101" s="369">
        <v>0.13065894163241401</v>
      </c>
      <c r="H101" s="384"/>
      <c r="I101" s="385"/>
      <c r="K101" s="296">
        <v>92</v>
      </c>
      <c r="L101" s="297" t="s">
        <v>2</v>
      </c>
      <c r="M101" s="297"/>
      <c r="N101" s="299"/>
      <c r="O101" s="297"/>
      <c r="P101" s="369">
        <v>0.13407883458216874</v>
      </c>
      <c r="Q101" s="384"/>
      <c r="R101" s="385"/>
      <c r="T101" s="296">
        <v>92</v>
      </c>
      <c r="U101" s="297" t="s">
        <v>2</v>
      </c>
      <c r="V101" s="462">
        <v>-3.419892949754727E-3</v>
      </c>
      <c r="W101" s="444"/>
      <c r="X101" s="444"/>
      <c r="Y101" s="445">
        <v>-2.5506583200936784E-2</v>
      </c>
    </row>
    <row r="102" spans="1:28" x14ac:dyDescent="0.2">
      <c r="B102" s="296">
        <v>93</v>
      </c>
      <c r="C102" s="297" t="s">
        <v>1</v>
      </c>
      <c r="D102" s="297"/>
      <c r="E102" s="299"/>
      <c r="F102" s="297"/>
      <c r="G102" s="369">
        <v>0.38018982523569633</v>
      </c>
      <c r="H102" s="391"/>
      <c r="I102" s="392"/>
      <c r="K102" s="296">
        <v>93</v>
      </c>
      <c r="L102" s="297" t="s">
        <v>1</v>
      </c>
      <c r="M102" s="297"/>
      <c r="N102" s="299"/>
      <c r="O102" s="297"/>
      <c r="P102" s="369">
        <v>0.38434273217032372</v>
      </c>
      <c r="Q102" s="391"/>
      <c r="R102" s="392"/>
      <c r="T102" s="296">
        <v>93</v>
      </c>
      <c r="U102" s="297" t="s">
        <v>1</v>
      </c>
      <c r="V102" s="444"/>
      <c r="W102" s="462">
        <v>-4.1529069346273872E-3</v>
      </c>
      <c r="X102" s="462"/>
      <c r="Y102" s="445">
        <v>-1.0805217809574717E-2</v>
      </c>
    </row>
    <row r="103" spans="1:28" x14ac:dyDescent="0.2">
      <c r="B103" s="296">
        <v>94</v>
      </c>
      <c r="C103" s="393" t="s">
        <v>10</v>
      </c>
      <c r="D103" s="393"/>
      <c r="E103" s="393"/>
      <c r="F103" s="393"/>
      <c r="G103" s="394">
        <v>0.51084876686811032</v>
      </c>
      <c r="H103" s="393"/>
      <c r="I103" s="395"/>
      <c r="K103" s="296">
        <v>94</v>
      </c>
      <c r="L103" s="393" t="s">
        <v>10</v>
      </c>
      <c r="M103" s="393"/>
      <c r="N103" s="393"/>
      <c r="O103" s="393"/>
      <c r="P103" s="394">
        <v>0.5184215667524924</v>
      </c>
      <c r="Q103" s="393"/>
      <c r="R103" s="395"/>
      <c r="T103" s="296">
        <v>94</v>
      </c>
      <c r="U103" s="393" t="s">
        <v>10</v>
      </c>
      <c r="V103" s="463"/>
      <c r="W103" s="463"/>
      <c r="X103" s="464">
        <v>-7.5727998843820865E-3</v>
      </c>
      <c r="Y103" s="465">
        <v>-1.4607416762809047E-2</v>
      </c>
    </row>
    <row r="104" spans="1:28" x14ac:dyDescent="0.2">
      <c r="A104" s="337"/>
      <c r="B104" s="337"/>
      <c r="C104" s="337"/>
      <c r="E104" s="397"/>
      <c r="V104" s="377"/>
      <c r="W104" s="377"/>
      <c r="X104" s="377"/>
      <c r="Y104" s="377"/>
    </row>
    <row r="105" spans="1:28" x14ac:dyDescent="0.2">
      <c r="A105" s="337"/>
      <c r="B105" s="337"/>
      <c r="C105" s="337"/>
      <c r="E105" s="397"/>
      <c r="V105" s="377"/>
      <c r="W105" s="377"/>
      <c r="X105" s="377"/>
      <c r="Y105" s="377"/>
    </row>
    <row r="106" spans="1:28" x14ac:dyDescent="0.2">
      <c r="E106" s="400"/>
      <c r="H106" s="400"/>
      <c r="V106" s="377"/>
      <c r="W106" s="377"/>
      <c r="X106" s="377"/>
      <c r="Y106" s="377"/>
    </row>
    <row r="108" spans="1:28" x14ac:dyDescent="0.2">
      <c r="E108" s="397"/>
      <c r="H108" s="397"/>
    </row>
  </sheetData>
  <mergeCells count="8">
    <mergeCell ref="K2:R2"/>
    <mergeCell ref="T7:Y7"/>
    <mergeCell ref="B4:I4"/>
    <mergeCell ref="K4:R4"/>
    <mergeCell ref="T4:Y4"/>
    <mergeCell ref="B6:I6"/>
    <mergeCell ref="K6:R6"/>
    <mergeCell ref="T6:Y6"/>
  </mergeCells>
  <pageMargins left="0.25" right="0.25" top="0.75" bottom="0.75" header="0.3" footer="0.3"/>
  <pageSetup scale="45" fitToWidth="3" orientation="portrait" r:id="rId1"/>
  <headerFooter>
    <oddFooter>&amp;L&amp;F
&amp;A&amp;RPage &amp;P of &amp;N</oddFooter>
  </headerFooter>
  <colBreaks count="2" manualBreakCount="2">
    <brk id="9" max="113" man="1"/>
    <brk id="18" max="113" man="1"/>
  </colBreaks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9"/>
  <sheetViews>
    <sheetView zoomScaleNormal="100" workbookViewId="0">
      <pane ySplit="8" topLeftCell="A9" activePane="bottomLeft" state="frozen"/>
      <selection pane="bottomLeft" activeCell="N26" sqref="N26"/>
    </sheetView>
  </sheetViews>
  <sheetFormatPr defaultColWidth="9.140625" defaultRowHeight="11.25" x14ac:dyDescent="0.2"/>
  <cols>
    <col min="1" max="1" width="4.85546875" style="22" bestFit="1" customWidth="1"/>
    <col min="2" max="2" width="53.7109375" style="22" bestFit="1" customWidth="1"/>
    <col min="3" max="3" width="9.5703125" style="22" bestFit="1" customWidth="1"/>
    <col min="4" max="5" width="12" style="22" bestFit="1" customWidth="1"/>
    <col min="6" max="7" width="12.28515625" style="22" bestFit="1" customWidth="1"/>
    <col min="8" max="9" width="11" style="22" bestFit="1" customWidth="1"/>
    <col min="10" max="10" width="12" style="22" bestFit="1" customWidth="1"/>
    <col min="11" max="11" width="8.7109375" style="22" bestFit="1" customWidth="1"/>
    <col min="12" max="16384" width="9.140625" style="22"/>
  </cols>
  <sheetData>
    <row r="2" spans="1:14" x14ac:dyDescent="0.2">
      <c r="A2" s="23" t="s">
        <v>47</v>
      </c>
      <c r="B2" s="23"/>
      <c r="C2" s="23"/>
      <c r="D2" s="23"/>
      <c r="E2" s="23"/>
      <c r="F2" s="23"/>
      <c r="G2" s="23"/>
      <c r="H2" s="23"/>
      <c r="I2" s="23"/>
    </row>
    <row r="3" spans="1:14" x14ac:dyDescent="0.2">
      <c r="A3" s="152" t="s">
        <v>186</v>
      </c>
      <c r="B3" s="23"/>
      <c r="C3" s="23"/>
      <c r="D3" s="23"/>
      <c r="E3" s="23"/>
      <c r="F3" s="23"/>
      <c r="G3" s="23"/>
      <c r="H3" s="23"/>
      <c r="I3" s="23"/>
    </row>
    <row r="4" spans="1:14" x14ac:dyDescent="0.2">
      <c r="A4" s="153" t="s">
        <v>158</v>
      </c>
      <c r="B4" s="23"/>
      <c r="C4" s="23"/>
      <c r="D4" s="23"/>
      <c r="E4" s="23"/>
      <c r="F4" s="23"/>
      <c r="G4" s="23"/>
      <c r="H4" s="23"/>
      <c r="I4" s="23"/>
      <c r="N4" s="76"/>
    </row>
    <row r="5" spans="1:14" x14ac:dyDescent="0.2">
      <c r="A5" s="153" t="s">
        <v>190</v>
      </c>
      <c r="B5" s="23"/>
      <c r="C5" s="23"/>
      <c r="D5" s="23"/>
      <c r="E5" s="23"/>
      <c r="F5" s="23"/>
      <c r="G5" s="23"/>
      <c r="H5" s="23"/>
      <c r="I5" s="23"/>
    </row>
    <row r="6" spans="1:14" x14ac:dyDescent="0.2">
      <c r="A6" s="23"/>
      <c r="B6" s="23"/>
      <c r="C6" s="23"/>
      <c r="D6" s="23"/>
      <c r="E6" s="23"/>
      <c r="F6" s="23"/>
      <c r="G6" s="23"/>
      <c r="H6" s="23"/>
      <c r="I6" s="23"/>
      <c r="N6" s="76"/>
    </row>
    <row r="7" spans="1:14" x14ac:dyDescent="0.2">
      <c r="B7" s="82" t="s">
        <v>32</v>
      </c>
      <c r="C7" s="82" t="s">
        <v>33</v>
      </c>
      <c r="D7" s="82" t="s">
        <v>34</v>
      </c>
      <c r="E7" s="82" t="s">
        <v>60</v>
      </c>
      <c r="F7" s="82" t="s">
        <v>80</v>
      </c>
      <c r="G7" s="82" t="s">
        <v>81</v>
      </c>
      <c r="H7" s="83" t="s">
        <v>82</v>
      </c>
      <c r="I7" s="82" t="s">
        <v>35</v>
      </c>
      <c r="J7" s="82" t="s">
        <v>61</v>
      </c>
      <c r="K7" s="82" t="s">
        <v>62</v>
      </c>
    </row>
    <row r="8" spans="1:14" ht="33.75" x14ac:dyDescent="0.2">
      <c r="A8" s="25" t="s">
        <v>48</v>
      </c>
      <c r="B8" s="84" t="s">
        <v>20</v>
      </c>
      <c r="C8" s="85" t="s">
        <v>83</v>
      </c>
      <c r="D8" s="85" t="s">
        <v>10</v>
      </c>
      <c r="E8" s="31" t="s">
        <v>84</v>
      </c>
      <c r="F8" s="32" t="s">
        <v>85</v>
      </c>
      <c r="G8" s="32" t="s">
        <v>86</v>
      </c>
      <c r="H8" s="32" t="s">
        <v>87</v>
      </c>
      <c r="I8" s="32" t="s">
        <v>88</v>
      </c>
      <c r="J8" s="32" t="s">
        <v>89</v>
      </c>
      <c r="K8" s="33" t="s">
        <v>90</v>
      </c>
    </row>
    <row r="9" spans="1:14" x14ac:dyDescent="0.2">
      <c r="A9" s="26">
        <v>1</v>
      </c>
      <c r="B9" s="50" t="s">
        <v>91</v>
      </c>
      <c r="C9" s="86" t="s">
        <v>92</v>
      </c>
      <c r="D9" s="87">
        <f>SUM(E9:K9)</f>
        <v>1140752508.5224547</v>
      </c>
      <c r="E9" s="486">
        <v>620844874.32387149</v>
      </c>
      <c r="F9" s="487">
        <v>222203870.67539161</v>
      </c>
      <c r="G9" s="487">
        <v>82012496.764967203</v>
      </c>
      <c r="H9" s="487">
        <v>88879730.522698998</v>
      </c>
      <c r="I9" s="487">
        <v>7491654.8276905455</v>
      </c>
      <c r="J9" s="487">
        <v>119319881.4078348</v>
      </c>
      <c r="K9" s="488">
        <v>0</v>
      </c>
    </row>
    <row r="10" spans="1:14" x14ac:dyDescent="0.2">
      <c r="A10" s="26">
        <f>A9+1</f>
        <v>2</v>
      </c>
      <c r="B10" s="50" t="s">
        <v>23</v>
      </c>
      <c r="C10" s="43"/>
      <c r="D10" s="87"/>
      <c r="E10" s="34">
        <f>E9/$D9</f>
        <v>0.54424151574123025</v>
      </c>
      <c r="F10" s="35">
        <f t="shared" ref="F10:K10" si="0">F9/$D9</f>
        <v>0.19478709800357868</v>
      </c>
      <c r="G10" s="35">
        <f t="shared" si="0"/>
        <v>7.1893330194112703E-2</v>
      </c>
      <c r="H10" s="35">
        <f t="shared" si="0"/>
        <v>7.7913245737955328E-2</v>
      </c>
      <c r="I10" s="35">
        <f t="shared" si="0"/>
        <v>6.5672920039369599E-3</v>
      </c>
      <c r="J10" s="35">
        <f t="shared" si="0"/>
        <v>0.10459751831918596</v>
      </c>
      <c r="K10" s="36">
        <f t="shared" si="0"/>
        <v>0</v>
      </c>
    </row>
    <row r="11" spans="1:14" x14ac:dyDescent="0.2">
      <c r="A11" s="26">
        <f>A10+1</f>
        <v>3</v>
      </c>
      <c r="B11" s="50"/>
      <c r="C11" s="43"/>
      <c r="D11" s="87"/>
      <c r="E11" s="37"/>
      <c r="F11" s="38"/>
      <c r="G11" s="38"/>
      <c r="H11" s="38"/>
      <c r="I11" s="38"/>
      <c r="J11" s="38"/>
      <c r="K11" s="39"/>
    </row>
    <row r="12" spans="1:14" x14ac:dyDescent="0.2">
      <c r="A12" s="26">
        <f t="shared" ref="A12:A55" si="1">A11+1</f>
        <v>4</v>
      </c>
      <c r="B12" s="50" t="s">
        <v>93</v>
      </c>
      <c r="C12" s="86" t="s">
        <v>92</v>
      </c>
      <c r="D12" s="87">
        <f>SUM(E12:K12)</f>
        <v>953115343.37899733</v>
      </c>
      <c r="E12" s="486">
        <v>620844874.32387149</v>
      </c>
      <c r="F12" s="487">
        <v>222166912.14539161</v>
      </c>
      <c r="G12" s="487">
        <v>62517991.156948172</v>
      </c>
      <c r="H12" s="487">
        <v>19992939.502740223</v>
      </c>
      <c r="I12" s="487">
        <v>5773170.4876905456</v>
      </c>
      <c r="J12" s="487">
        <v>21819455.762355208</v>
      </c>
      <c r="K12" s="488">
        <v>0</v>
      </c>
    </row>
    <row r="13" spans="1:14" x14ac:dyDescent="0.2">
      <c r="A13" s="26">
        <f t="shared" si="1"/>
        <v>5</v>
      </c>
      <c r="B13" s="50" t="s">
        <v>23</v>
      </c>
      <c r="C13" s="43"/>
      <c r="D13" s="87"/>
      <c r="E13" s="34">
        <f>E12/$D12</f>
        <v>0.65138482832816846</v>
      </c>
      <c r="F13" s="35">
        <f t="shared" ref="F13" si="2">F12/$D12</f>
        <v>0.23309551534210171</v>
      </c>
      <c r="G13" s="35">
        <f t="shared" ref="G13" si="3">G12/$D12</f>
        <v>6.5593311020792661E-2</v>
      </c>
      <c r="H13" s="35">
        <f t="shared" ref="H13" si="4">H12/$D12</f>
        <v>2.0976411345830386E-2</v>
      </c>
      <c r="I13" s="35">
        <f t="shared" ref="I13" si="5">I12/$D12</f>
        <v>6.0571582734398376E-3</v>
      </c>
      <c r="J13" s="35">
        <f t="shared" ref="J13" si="6">J12/$D12</f>
        <v>2.2892775689666876E-2</v>
      </c>
      <c r="K13" s="36">
        <f t="shared" ref="K13" si="7">K12/$D12</f>
        <v>0</v>
      </c>
    </row>
    <row r="14" spans="1:14" x14ac:dyDescent="0.2">
      <c r="A14" s="26">
        <f t="shared" si="1"/>
        <v>6</v>
      </c>
      <c r="B14" s="50"/>
      <c r="C14" s="43"/>
      <c r="D14" s="87"/>
      <c r="E14" s="37"/>
      <c r="F14" s="38"/>
      <c r="G14" s="38"/>
      <c r="H14" s="38"/>
      <c r="I14" s="38"/>
      <c r="J14" s="38"/>
      <c r="K14" s="39"/>
    </row>
    <row r="15" spans="1:14" x14ac:dyDescent="0.2">
      <c r="A15" s="26">
        <f t="shared" si="1"/>
        <v>7</v>
      </c>
      <c r="B15" s="50" t="s">
        <v>94</v>
      </c>
      <c r="C15" s="86" t="s">
        <v>92</v>
      </c>
      <c r="D15" s="87">
        <f t="shared" ref="D15:D21" si="8">SUM(E15:K15)</f>
        <v>716143122.74986231</v>
      </c>
      <c r="E15" s="486">
        <v>424612257.90986878</v>
      </c>
      <c r="F15" s="487">
        <v>146721274.39194626</v>
      </c>
      <c r="G15" s="487">
        <v>44979557.172003679</v>
      </c>
      <c r="H15" s="487">
        <v>41765772.219842479</v>
      </c>
      <c r="I15" s="487">
        <v>4315203.25819562</v>
      </c>
      <c r="J15" s="487">
        <v>53749057.798005626</v>
      </c>
      <c r="K15" s="488">
        <v>0</v>
      </c>
    </row>
    <row r="16" spans="1:14" x14ac:dyDescent="0.2">
      <c r="A16" s="26">
        <f t="shared" si="1"/>
        <v>8</v>
      </c>
      <c r="B16" s="50" t="s">
        <v>23</v>
      </c>
      <c r="C16" s="43"/>
      <c r="D16" s="87"/>
      <c r="E16" s="34">
        <f>E15/$D15</f>
        <v>0.5929153606606361</v>
      </c>
      <c r="F16" s="35">
        <f t="shared" ref="F16" si="9">F15/$D15</f>
        <v>0.20487702769323909</v>
      </c>
      <c r="G16" s="35">
        <f t="shared" ref="G16" si="10">G15/$D15</f>
        <v>6.2808055740715865E-2</v>
      </c>
      <c r="H16" s="35">
        <f t="shared" ref="H16" si="11">H15/$D15</f>
        <v>5.8320426312926575E-2</v>
      </c>
      <c r="I16" s="35">
        <f t="shared" ref="I16" si="12">I15/$D15</f>
        <v>6.0256157199778818E-3</v>
      </c>
      <c r="J16" s="35">
        <f t="shared" ref="J16" si="13">J15/$D15</f>
        <v>7.5053513872504696E-2</v>
      </c>
      <c r="K16" s="36">
        <f t="shared" ref="K16" si="14">K15/$D15</f>
        <v>0</v>
      </c>
    </row>
    <row r="17" spans="1:11" x14ac:dyDescent="0.2">
      <c r="A17" s="26">
        <f t="shared" si="1"/>
        <v>9</v>
      </c>
      <c r="B17" s="50"/>
      <c r="C17" s="43"/>
      <c r="D17" s="87"/>
      <c r="E17" s="37"/>
      <c r="F17" s="38"/>
      <c r="G17" s="38"/>
      <c r="H17" s="38"/>
      <c r="I17" s="38"/>
      <c r="J17" s="38"/>
      <c r="K17" s="39"/>
    </row>
    <row r="18" spans="1:11" x14ac:dyDescent="0.2">
      <c r="A18" s="26">
        <f t="shared" si="1"/>
        <v>10</v>
      </c>
      <c r="B18" s="50" t="s">
        <v>95</v>
      </c>
      <c r="C18" s="86" t="s">
        <v>92</v>
      </c>
      <c r="D18" s="87">
        <f t="shared" si="8"/>
        <v>633843859.46692252</v>
      </c>
      <c r="E18" s="486">
        <v>424612257.90986878</v>
      </c>
      <c r="F18" s="487">
        <v>146697982.93194625</v>
      </c>
      <c r="G18" s="487">
        <v>36289085.62542785</v>
      </c>
      <c r="H18" s="487">
        <v>11243304.220912216</v>
      </c>
      <c r="I18" s="487">
        <v>3670961.1381956204</v>
      </c>
      <c r="J18" s="487">
        <v>11330267.640571874</v>
      </c>
      <c r="K18" s="488">
        <v>0</v>
      </c>
    </row>
    <row r="19" spans="1:11" x14ac:dyDescent="0.2">
      <c r="A19" s="26">
        <f t="shared" si="1"/>
        <v>11</v>
      </c>
      <c r="B19" s="50" t="s">
        <v>23</v>
      </c>
      <c r="C19" s="43"/>
      <c r="D19" s="87"/>
      <c r="E19" s="34">
        <f>E18/$D18</f>
        <v>0.66990040459960853</v>
      </c>
      <c r="F19" s="35">
        <f t="shared" ref="F19" si="15">F18/$D18</f>
        <v>0.23144183025662293</v>
      </c>
      <c r="G19" s="35">
        <f t="shared" ref="G19" si="16">G18/$D18</f>
        <v>5.7252405436171327E-2</v>
      </c>
      <c r="H19" s="35">
        <f t="shared" ref="H19" si="17">H18/$D18</f>
        <v>1.7738286887196631E-2</v>
      </c>
      <c r="I19" s="35">
        <f t="shared" ref="I19" si="18">I18/$D18</f>
        <v>5.7915858667195808E-3</v>
      </c>
      <c r="J19" s="35">
        <f t="shared" ref="J19" si="19">J18/$D18</f>
        <v>1.7875486953681137E-2</v>
      </c>
      <c r="K19" s="36">
        <f t="shared" ref="K19" si="20">K18/$D18</f>
        <v>0</v>
      </c>
    </row>
    <row r="20" spans="1:11" x14ac:dyDescent="0.2">
      <c r="A20" s="26">
        <f t="shared" si="1"/>
        <v>12</v>
      </c>
      <c r="B20" s="50"/>
      <c r="C20" s="43"/>
      <c r="D20" s="87"/>
      <c r="E20" s="37"/>
      <c r="F20" s="38"/>
      <c r="G20" s="38"/>
      <c r="H20" s="38"/>
      <c r="I20" s="38"/>
      <c r="J20" s="38"/>
      <c r="K20" s="39"/>
    </row>
    <row r="21" spans="1:11" x14ac:dyDescent="0.2">
      <c r="A21" s="26">
        <f t="shared" si="1"/>
        <v>13</v>
      </c>
      <c r="B21" s="50" t="s">
        <v>96</v>
      </c>
      <c r="C21" s="86" t="s">
        <v>92</v>
      </c>
      <c r="D21" s="87">
        <f t="shared" si="8"/>
        <v>9513986.6299762093</v>
      </c>
      <c r="E21" s="487">
        <v>6800522.7102754265</v>
      </c>
      <c r="F21" s="487">
        <v>2215708.7608185471</v>
      </c>
      <c r="G21" s="487">
        <v>486433.94146557047</v>
      </c>
      <c r="H21" s="487">
        <v>8063.8863333333338</v>
      </c>
      <c r="I21" s="487">
        <v>3257.331083333333</v>
      </c>
      <c r="J21" s="487">
        <v>0</v>
      </c>
      <c r="K21" s="488">
        <v>0</v>
      </c>
    </row>
    <row r="22" spans="1:11" x14ac:dyDescent="0.2">
      <c r="A22" s="26">
        <f t="shared" si="1"/>
        <v>14</v>
      </c>
      <c r="B22" s="88" t="s">
        <v>23</v>
      </c>
      <c r="C22" s="44"/>
      <c r="D22" s="89"/>
      <c r="E22" s="40">
        <f>E21/$D21</f>
        <v>0.71479212392927571</v>
      </c>
      <c r="F22" s="41">
        <f t="shared" ref="F22" si="21">F21/$D21</f>
        <v>0.23288962314046133</v>
      </c>
      <c r="G22" s="41">
        <f t="shared" ref="G22" si="22">G21/$D21</f>
        <v>5.1128297777183952E-2</v>
      </c>
      <c r="H22" s="41">
        <f t="shared" ref="H22" si="23">H21/$D21</f>
        <v>8.4758226461303097E-4</v>
      </c>
      <c r="I22" s="41">
        <f t="shared" ref="I22" si="24">I21/$D21</f>
        <v>3.4237288846615484E-4</v>
      </c>
      <c r="J22" s="41">
        <f t="shared" ref="J22" si="25">J21/$D21</f>
        <v>0</v>
      </c>
      <c r="K22" s="42">
        <f t="shared" ref="K22" si="26">K21/$D21</f>
        <v>0</v>
      </c>
    </row>
    <row r="23" spans="1:11" x14ac:dyDescent="0.2">
      <c r="A23" s="26">
        <f t="shared" si="1"/>
        <v>15</v>
      </c>
      <c r="B23" s="90"/>
      <c r="C23" s="90"/>
      <c r="D23" s="90"/>
      <c r="E23" s="91"/>
      <c r="F23" s="91"/>
      <c r="G23" s="91"/>
      <c r="H23" s="91"/>
      <c r="I23" s="91"/>
      <c r="J23" s="91"/>
      <c r="K23" s="91"/>
    </row>
    <row r="24" spans="1:11" x14ac:dyDescent="0.2">
      <c r="A24" s="26">
        <f t="shared" si="1"/>
        <v>16</v>
      </c>
      <c r="B24" s="92" t="s">
        <v>97</v>
      </c>
      <c r="C24" s="90"/>
      <c r="D24" s="90"/>
      <c r="E24" s="90"/>
      <c r="F24" s="90"/>
      <c r="G24" s="90"/>
      <c r="H24" s="90"/>
      <c r="I24" s="90"/>
      <c r="J24" s="90"/>
      <c r="K24" s="90"/>
    </row>
    <row r="25" spans="1:11" x14ac:dyDescent="0.2">
      <c r="A25" s="26">
        <f t="shared" si="1"/>
        <v>17</v>
      </c>
      <c r="B25" s="93" t="s">
        <v>20</v>
      </c>
      <c r="C25" s="93" t="s">
        <v>98</v>
      </c>
      <c r="D25" s="85" t="s">
        <v>10</v>
      </c>
      <c r="E25" s="94" t="s">
        <v>93</v>
      </c>
      <c r="F25" s="94" t="s">
        <v>99</v>
      </c>
      <c r="G25" s="94" t="s">
        <v>100</v>
      </c>
      <c r="H25" s="95" t="s">
        <v>101</v>
      </c>
      <c r="I25" s="90"/>
      <c r="J25" s="90"/>
      <c r="K25" s="90"/>
    </row>
    <row r="26" spans="1:11" x14ac:dyDescent="0.2">
      <c r="A26" s="26">
        <f t="shared" si="1"/>
        <v>18</v>
      </c>
      <c r="B26" s="96" t="s">
        <v>102</v>
      </c>
      <c r="C26" s="96" t="s">
        <v>103</v>
      </c>
      <c r="D26" s="97">
        <f>SUM(E26:H26)</f>
        <v>1</v>
      </c>
      <c r="E26" s="489">
        <v>0.27745620077450889</v>
      </c>
      <c r="F26" s="489">
        <v>0.42662186752804077</v>
      </c>
      <c r="G26" s="489">
        <v>0.29592193169745035</v>
      </c>
      <c r="H26" s="490">
        <v>0</v>
      </c>
      <c r="I26" s="90"/>
      <c r="J26" s="90"/>
      <c r="K26" s="90"/>
    </row>
    <row r="27" spans="1:11" x14ac:dyDescent="0.2">
      <c r="A27" s="26">
        <f t="shared" si="1"/>
        <v>19</v>
      </c>
      <c r="B27" s="43" t="s">
        <v>104</v>
      </c>
      <c r="C27" s="43" t="s">
        <v>105</v>
      </c>
      <c r="D27" s="98">
        <f t="shared" ref="D27:D30" si="27">SUM(E27:H27)</f>
        <v>1</v>
      </c>
      <c r="E27" s="491"/>
      <c r="F27" s="492">
        <v>9.2976695787655078E-2</v>
      </c>
      <c r="G27" s="492">
        <v>0.69702330421234493</v>
      </c>
      <c r="H27" s="493">
        <v>0.20999999999999996</v>
      </c>
      <c r="I27" s="90"/>
      <c r="J27" s="90"/>
      <c r="K27" s="90"/>
    </row>
    <row r="28" spans="1:11" x14ac:dyDescent="0.2">
      <c r="A28" s="26">
        <f t="shared" si="1"/>
        <v>20</v>
      </c>
      <c r="B28" s="43" t="s">
        <v>106</v>
      </c>
      <c r="C28" s="43" t="s">
        <v>107</v>
      </c>
      <c r="D28" s="98">
        <f t="shared" si="27"/>
        <v>1</v>
      </c>
      <c r="E28" s="491"/>
      <c r="F28" s="492">
        <v>9.2976695787655078E-2</v>
      </c>
      <c r="G28" s="492">
        <v>0.69702330421234493</v>
      </c>
      <c r="H28" s="493">
        <v>0.20999999999999996</v>
      </c>
      <c r="I28" s="90"/>
      <c r="J28" s="90"/>
      <c r="K28" s="90"/>
    </row>
    <row r="29" spans="1:11" x14ac:dyDescent="0.2">
      <c r="A29" s="26">
        <f t="shared" si="1"/>
        <v>21</v>
      </c>
      <c r="B29" s="43" t="s">
        <v>108</v>
      </c>
      <c r="C29" s="43" t="s">
        <v>109</v>
      </c>
      <c r="D29" s="98">
        <f t="shared" si="27"/>
        <v>0</v>
      </c>
      <c r="E29" s="491"/>
      <c r="F29" s="491"/>
      <c r="G29" s="494"/>
      <c r="H29" s="493"/>
      <c r="I29" s="90"/>
      <c r="J29" s="90"/>
      <c r="K29" s="90"/>
    </row>
    <row r="30" spans="1:11" x14ac:dyDescent="0.2">
      <c r="A30" s="26">
        <f t="shared" si="1"/>
        <v>22</v>
      </c>
      <c r="B30" s="44" t="s">
        <v>110</v>
      </c>
      <c r="C30" s="44" t="s">
        <v>111</v>
      </c>
      <c r="D30" s="99">
        <f t="shared" si="27"/>
        <v>1</v>
      </c>
      <c r="E30" s="495"/>
      <c r="F30" s="496">
        <v>1</v>
      </c>
      <c r="G30" s="496"/>
      <c r="H30" s="497">
        <v>0</v>
      </c>
      <c r="I30" s="90"/>
      <c r="J30" s="90"/>
      <c r="K30" s="90"/>
    </row>
    <row r="31" spans="1:11" x14ac:dyDescent="0.2">
      <c r="A31" s="26">
        <f t="shared" si="1"/>
        <v>23</v>
      </c>
      <c r="B31" s="47"/>
      <c r="C31" s="47"/>
      <c r="D31" s="100"/>
      <c r="E31" s="47"/>
      <c r="F31" s="47"/>
      <c r="G31" s="47"/>
      <c r="H31" s="47"/>
      <c r="I31" s="90"/>
      <c r="J31" s="90"/>
      <c r="K31" s="90"/>
    </row>
    <row r="32" spans="1:11" x14ac:dyDescent="0.2">
      <c r="A32" s="26">
        <f t="shared" si="1"/>
        <v>24</v>
      </c>
      <c r="B32" s="48" t="s">
        <v>112</v>
      </c>
      <c r="C32" s="47"/>
      <c r="D32" s="90"/>
      <c r="E32" s="90"/>
      <c r="F32" s="90"/>
      <c r="G32" s="90"/>
      <c r="H32" s="90"/>
      <c r="I32" s="90"/>
      <c r="J32" s="90"/>
      <c r="K32" s="90"/>
    </row>
    <row r="33" spans="1:11" x14ac:dyDescent="0.2">
      <c r="A33" s="26">
        <f t="shared" si="1"/>
        <v>25</v>
      </c>
      <c r="B33" s="93" t="s">
        <v>20</v>
      </c>
      <c r="C33" s="93" t="s">
        <v>98</v>
      </c>
      <c r="D33" s="85" t="s">
        <v>10</v>
      </c>
      <c r="E33" s="101" t="s">
        <v>93</v>
      </c>
      <c r="F33" s="101" t="s">
        <v>99</v>
      </c>
      <c r="G33" s="101" t="s">
        <v>100</v>
      </c>
      <c r="H33" s="102" t="s">
        <v>101</v>
      </c>
      <c r="I33" s="90"/>
      <c r="J33" s="90"/>
      <c r="K33" s="90"/>
    </row>
    <row r="34" spans="1:11" x14ac:dyDescent="0.2">
      <c r="A34" s="26">
        <f t="shared" si="1"/>
        <v>26</v>
      </c>
      <c r="B34" s="43" t="s">
        <v>102</v>
      </c>
      <c r="C34" s="43" t="s">
        <v>103</v>
      </c>
      <c r="D34" s="498">
        <v>120331553.95709854</v>
      </c>
      <c r="E34" s="78">
        <f>E26*D34</f>
        <v>33386735.794229385</v>
      </c>
      <c r="F34" s="78">
        <f>F26*D34</f>
        <v>51336072.271728583</v>
      </c>
      <c r="G34" s="78">
        <f>G26*D34</f>
        <v>35608745.891140573</v>
      </c>
      <c r="H34" s="79">
        <f>H26*D34</f>
        <v>0</v>
      </c>
      <c r="I34" s="90"/>
      <c r="J34" s="90"/>
      <c r="K34" s="90"/>
    </row>
    <row r="35" spans="1:11" x14ac:dyDescent="0.2">
      <c r="A35" s="26">
        <f t="shared" si="1"/>
        <v>27</v>
      </c>
      <c r="B35" s="43" t="s">
        <v>104</v>
      </c>
      <c r="C35" s="43" t="s">
        <v>105</v>
      </c>
      <c r="D35" s="498">
        <v>6844028.2941000005</v>
      </c>
      <c r="E35" s="78">
        <f t="shared" ref="E35:E38" si="28">E27*D35</f>
        <v>0</v>
      </c>
      <c r="F35" s="78">
        <f t="shared" ref="F35:F38" si="29">F27*D35</f>
        <v>636335.13666263968</v>
      </c>
      <c r="G35" s="78">
        <f t="shared" ref="G35:G38" si="30">G27*D35</f>
        <v>4770447.2156763608</v>
      </c>
      <c r="H35" s="80">
        <f t="shared" ref="H35:H38" si="31">H27*D35</f>
        <v>1437245.9417609998</v>
      </c>
      <c r="I35" s="90"/>
      <c r="J35" s="90"/>
      <c r="K35" s="90"/>
    </row>
    <row r="36" spans="1:11" x14ac:dyDescent="0.2">
      <c r="A36" s="26">
        <f t="shared" si="1"/>
        <v>28</v>
      </c>
      <c r="B36" s="43" t="s">
        <v>106</v>
      </c>
      <c r="C36" s="43" t="s">
        <v>107</v>
      </c>
      <c r="D36" s="498">
        <v>521597.32604999997</v>
      </c>
      <c r="E36" s="78">
        <f t="shared" si="28"/>
        <v>0</v>
      </c>
      <c r="F36" s="78">
        <f t="shared" si="29"/>
        <v>48496.395907805185</v>
      </c>
      <c r="G36" s="78">
        <f t="shared" si="30"/>
        <v>363565.49167169479</v>
      </c>
      <c r="H36" s="80">
        <f t="shared" si="31"/>
        <v>109535.43847049998</v>
      </c>
      <c r="I36" s="90"/>
      <c r="J36" s="90"/>
      <c r="K36" s="90"/>
    </row>
    <row r="37" spans="1:11" x14ac:dyDescent="0.2">
      <c r="A37" s="26">
        <f t="shared" si="1"/>
        <v>29</v>
      </c>
      <c r="B37" s="43" t="s">
        <v>108</v>
      </c>
      <c r="C37" s="43" t="s">
        <v>109</v>
      </c>
      <c r="D37" s="498"/>
      <c r="E37" s="78">
        <f t="shared" si="28"/>
        <v>0</v>
      </c>
      <c r="F37" s="78">
        <f t="shared" si="29"/>
        <v>0</v>
      </c>
      <c r="G37" s="78">
        <f t="shared" si="30"/>
        <v>0</v>
      </c>
      <c r="H37" s="80">
        <f t="shared" si="31"/>
        <v>0</v>
      </c>
      <c r="I37" s="90"/>
      <c r="J37" s="90"/>
      <c r="K37" s="90"/>
    </row>
    <row r="38" spans="1:11" x14ac:dyDescent="0.2">
      <c r="A38" s="26">
        <f t="shared" si="1"/>
        <v>30</v>
      </c>
      <c r="B38" s="44" t="s">
        <v>113</v>
      </c>
      <c r="C38" s="44" t="s">
        <v>111</v>
      </c>
      <c r="D38" s="498">
        <v>5438883.0993599985</v>
      </c>
      <c r="E38" s="78">
        <f t="shared" si="28"/>
        <v>0</v>
      </c>
      <c r="F38" s="78">
        <f t="shared" si="29"/>
        <v>5438883.0993599985</v>
      </c>
      <c r="G38" s="78">
        <f t="shared" si="30"/>
        <v>0</v>
      </c>
      <c r="H38" s="81">
        <f t="shared" si="31"/>
        <v>0</v>
      </c>
      <c r="I38" s="90"/>
      <c r="J38" s="90"/>
      <c r="K38" s="90"/>
    </row>
    <row r="39" spans="1:11" x14ac:dyDescent="0.2">
      <c r="A39" s="26">
        <f t="shared" si="1"/>
        <v>31</v>
      </c>
      <c r="B39" s="103" t="s">
        <v>10</v>
      </c>
      <c r="C39" s="103"/>
      <c r="D39" s="104">
        <f>SUM(D34:D38)</f>
        <v>133136062.67660855</v>
      </c>
      <c r="E39" s="105">
        <f t="shared" ref="E39:H39" si="32">SUM(E34:E38)</f>
        <v>33386735.794229385</v>
      </c>
      <c r="F39" s="105">
        <f t="shared" si="32"/>
        <v>57459786.903659023</v>
      </c>
      <c r="G39" s="105">
        <f t="shared" si="32"/>
        <v>40742758.598488629</v>
      </c>
      <c r="H39" s="106">
        <f t="shared" si="32"/>
        <v>1546781.3802314999</v>
      </c>
      <c r="I39" s="90"/>
      <c r="J39" s="90"/>
      <c r="K39" s="90"/>
    </row>
    <row r="40" spans="1:11" x14ac:dyDescent="0.2">
      <c r="A40" s="26">
        <f t="shared" si="1"/>
        <v>32</v>
      </c>
      <c r="B40" s="47"/>
      <c r="C40" s="47"/>
      <c r="D40" s="90"/>
      <c r="E40" s="90"/>
      <c r="F40" s="90"/>
      <c r="G40" s="90"/>
      <c r="H40" s="90"/>
      <c r="I40" s="90"/>
      <c r="J40" s="90"/>
      <c r="K40" s="90"/>
    </row>
    <row r="41" spans="1:11" s="24" customFormat="1" ht="54.75" customHeight="1" x14ac:dyDescent="0.2">
      <c r="A41" s="26">
        <f t="shared" si="1"/>
        <v>33</v>
      </c>
      <c r="B41" s="107" t="s">
        <v>20</v>
      </c>
      <c r="C41" s="108"/>
      <c r="D41" s="85" t="s">
        <v>10</v>
      </c>
      <c r="E41" s="31" t="s">
        <v>84</v>
      </c>
      <c r="F41" s="32" t="s">
        <v>85</v>
      </c>
      <c r="G41" s="32" t="s">
        <v>86</v>
      </c>
      <c r="H41" s="32" t="s">
        <v>87</v>
      </c>
      <c r="I41" s="32" t="s">
        <v>88</v>
      </c>
      <c r="J41" s="32" t="s">
        <v>89</v>
      </c>
      <c r="K41" s="33" t="s">
        <v>90</v>
      </c>
    </row>
    <row r="42" spans="1:11" x14ac:dyDescent="0.2">
      <c r="A42" s="26">
        <f t="shared" si="1"/>
        <v>34</v>
      </c>
      <c r="B42" s="50"/>
      <c r="C42" s="47"/>
      <c r="D42" s="43"/>
      <c r="E42" s="47"/>
      <c r="F42" s="47"/>
      <c r="G42" s="47"/>
      <c r="H42" s="47"/>
      <c r="I42" s="47"/>
      <c r="J42" s="47"/>
      <c r="K42" s="109"/>
    </row>
    <row r="43" spans="1:11" x14ac:dyDescent="0.2">
      <c r="A43" s="26">
        <f t="shared" si="1"/>
        <v>35</v>
      </c>
      <c r="B43" s="50" t="s">
        <v>93</v>
      </c>
      <c r="C43" s="47"/>
      <c r="D43" s="110">
        <f>E39</f>
        <v>33386735.794229385</v>
      </c>
      <c r="E43" s="111">
        <f>D43*E13</f>
        <v>21747613.163762026</v>
      </c>
      <c r="F43" s="111">
        <f>D43*F13</f>
        <v>7782298.3855464915</v>
      </c>
      <c r="G43" s="111">
        <f>D43*G13</f>
        <v>2189946.5449199192</v>
      </c>
      <c r="H43" s="111">
        <f>D43*H13</f>
        <v>700333.90351431468</v>
      </c>
      <c r="I43" s="111">
        <f>D43*I13</f>
        <v>202228.74293916649</v>
      </c>
      <c r="J43" s="111">
        <f>D43*J13</f>
        <v>764315.05354746536</v>
      </c>
      <c r="K43" s="112">
        <f>D43*K13</f>
        <v>0</v>
      </c>
    </row>
    <row r="44" spans="1:11" x14ac:dyDescent="0.2">
      <c r="A44" s="26">
        <f t="shared" si="1"/>
        <v>36</v>
      </c>
      <c r="B44" s="50" t="s">
        <v>99</v>
      </c>
      <c r="C44" s="47"/>
      <c r="D44" s="110">
        <f>F39</f>
        <v>57459786.903659023</v>
      </c>
      <c r="E44" s="111">
        <f>D44*E19</f>
        <v>38492334.494968466</v>
      </c>
      <c r="F44" s="111">
        <f>D44*F19</f>
        <v>13298598.247138377</v>
      </c>
      <c r="G44" s="111">
        <f>D44*G19</f>
        <v>3289711.0160842938</v>
      </c>
      <c r="H44" s="111">
        <f>D44*H19</f>
        <v>1019238.1845742876</v>
      </c>
      <c r="I44" s="111">
        <f>D44*I19</f>
        <v>332783.28973595047</v>
      </c>
      <c r="J44" s="111">
        <f>D44*J19</f>
        <v>1027121.6711576551</v>
      </c>
      <c r="K44" s="112">
        <f>D44*K19</f>
        <v>0</v>
      </c>
    </row>
    <row r="45" spans="1:11" x14ac:dyDescent="0.2">
      <c r="A45" s="26">
        <f t="shared" si="1"/>
        <v>37</v>
      </c>
      <c r="B45" s="50" t="s">
        <v>100</v>
      </c>
      <c r="C45" s="47"/>
      <c r="D45" s="110">
        <f>G39</f>
        <v>40742758.598488629</v>
      </c>
      <c r="E45" s="111">
        <f>D45*E22</f>
        <v>29122602.953351449</v>
      </c>
      <c r="F45" s="111">
        <f>D45*F22</f>
        <v>9488565.6957048066</v>
      </c>
      <c r="G45" s="111">
        <f>D45*G22</f>
        <v>2083107.8938874486</v>
      </c>
      <c r="H45" s="111">
        <f>D45*H22</f>
        <v>34532.839599489031</v>
      </c>
      <c r="I45" s="111">
        <f>D45*I22</f>
        <v>13949.215945443819</v>
      </c>
      <c r="J45" s="111">
        <f>D45*J22</f>
        <v>0</v>
      </c>
      <c r="K45" s="112">
        <f>D45*K22</f>
        <v>0</v>
      </c>
    </row>
    <row r="46" spans="1:11" x14ac:dyDescent="0.2">
      <c r="A46" s="26">
        <f t="shared" si="1"/>
        <v>38</v>
      </c>
      <c r="B46" s="50" t="s">
        <v>101</v>
      </c>
      <c r="C46" s="47"/>
      <c r="D46" s="110">
        <f>H39</f>
        <v>1546781.3802314999</v>
      </c>
      <c r="E46" s="111">
        <f>D46*E10</f>
        <v>841822.64289750368</v>
      </c>
      <c r="F46" s="111">
        <f>D46*F10</f>
        <v>301293.05630126386</v>
      </c>
      <c r="G46" s="111">
        <f>D46*G10</f>
        <v>111203.26450708862</v>
      </c>
      <c r="H46" s="111">
        <f>D46*H10</f>
        <v>120514.75778087057</v>
      </c>
      <c r="I46" s="111">
        <f>D46*I10</f>
        <v>10158.164990232905</v>
      </c>
      <c r="J46" s="111">
        <f>D46*J10</f>
        <v>161789.49375454005</v>
      </c>
      <c r="K46" s="112">
        <f>D46*K10</f>
        <v>0</v>
      </c>
    </row>
    <row r="47" spans="1:11" x14ac:dyDescent="0.2">
      <c r="A47" s="26">
        <f t="shared" si="1"/>
        <v>39</v>
      </c>
      <c r="B47" s="50"/>
      <c r="C47" s="47"/>
      <c r="D47" s="113"/>
      <c r="E47" s="114"/>
      <c r="F47" s="114"/>
      <c r="G47" s="114"/>
      <c r="H47" s="114"/>
      <c r="I47" s="114"/>
      <c r="J47" s="114"/>
      <c r="K47" s="115"/>
    </row>
    <row r="48" spans="1:11" x14ac:dyDescent="0.2">
      <c r="A48" s="26">
        <f t="shared" si="1"/>
        <v>40</v>
      </c>
      <c r="B48" s="45" t="s">
        <v>10</v>
      </c>
      <c r="C48" s="116"/>
      <c r="D48" s="117">
        <f>SUM(D43:D46)</f>
        <v>133136062.67660853</v>
      </c>
      <c r="E48" s="118">
        <f t="shared" ref="E48:K48" si="33">SUM(E43:E46)</f>
        <v>90204373.254979447</v>
      </c>
      <c r="F48" s="118">
        <f t="shared" si="33"/>
        <v>30870755.384690937</v>
      </c>
      <c r="G48" s="118">
        <f t="shared" si="33"/>
        <v>7673968.71939875</v>
      </c>
      <c r="H48" s="118">
        <f t="shared" si="33"/>
        <v>1874619.685468962</v>
      </c>
      <c r="I48" s="118">
        <f t="shared" si="33"/>
        <v>559119.41361079377</v>
      </c>
      <c r="J48" s="118">
        <f t="shared" si="33"/>
        <v>1953226.2184596607</v>
      </c>
      <c r="K48" s="119">
        <f t="shared" si="33"/>
        <v>0</v>
      </c>
    </row>
    <row r="49" spans="1:11" x14ac:dyDescent="0.2">
      <c r="A49" s="26">
        <f t="shared" si="1"/>
        <v>41</v>
      </c>
      <c r="B49" s="46"/>
      <c r="C49" s="47"/>
      <c r="D49" s="38"/>
      <c r="E49" s="38"/>
      <c r="F49" s="38"/>
      <c r="G49" s="38"/>
      <c r="H49" s="38"/>
      <c r="I49" s="38"/>
      <c r="J49" s="38"/>
      <c r="K49" s="38"/>
    </row>
    <row r="50" spans="1:11" x14ac:dyDescent="0.2">
      <c r="A50" s="26">
        <f t="shared" si="1"/>
        <v>42</v>
      </c>
      <c r="B50" s="45" t="s">
        <v>93</v>
      </c>
      <c r="C50" s="116"/>
      <c r="D50" s="120">
        <f>SUM(E50:K50)</f>
        <v>953115343.37899733</v>
      </c>
      <c r="E50" s="149">
        <f>E12</f>
        <v>620844874.32387149</v>
      </c>
      <c r="F50" s="149">
        <f t="shared" ref="F50:J50" si="34">F12</f>
        <v>222166912.14539161</v>
      </c>
      <c r="G50" s="149">
        <f t="shared" si="34"/>
        <v>62517991.156948172</v>
      </c>
      <c r="H50" s="149">
        <f t="shared" si="34"/>
        <v>19992939.502740223</v>
      </c>
      <c r="I50" s="149">
        <f t="shared" si="34"/>
        <v>5773170.4876905456</v>
      </c>
      <c r="J50" s="149">
        <f t="shared" si="34"/>
        <v>21819455.762355208</v>
      </c>
      <c r="K50" s="121">
        <v>0</v>
      </c>
    </row>
    <row r="51" spans="1:11" x14ac:dyDescent="0.2">
      <c r="A51" s="26">
        <f t="shared" si="1"/>
        <v>43</v>
      </c>
      <c r="B51" s="47"/>
      <c r="C51" s="47"/>
      <c r="D51" s="38"/>
      <c r="E51" s="38"/>
      <c r="F51" s="38"/>
      <c r="G51" s="38"/>
      <c r="H51" s="38"/>
      <c r="I51" s="38"/>
      <c r="J51" s="38"/>
      <c r="K51" s="38"/>
    </row>
    <row r="52" spans="1:11" x14ac:dyDescent="0.2">
      <c r="A52" s="26">
        <f t="shared" si="1"/>
        <v>44</v>
      </c>
      <c r="B52" s="48" t="s">
        <v>114</v>
      </c>
      <c r="C52" s="47"/>
      <c r="D52" s="38"/>
      <c r="E52" s="38"/>
      <c r="F52" s="38"/>
      <c r="G52" s="38"/>
      <c r="H52" s="38"/>
      <c r="I52" s="38"/>
      <c r="J52" s="38"/>
      <c r="K52" s="38"/>
    </row>
    <row r="53" spans="1:11" x14ac:dyDescent="0.2">
      <c r="A53" s="26">
        <f t="shared" si="1"/>
        <v>45</v>
      </c>
      <c r="B53" s="49" t="s">
        <v>115</v>
      </c>
      <c r="C53" s="46"/>
      <c r="D53" s="122"/>
      <c r="E53" s="123">
        <f>ROUND(SUM(E43:E45)/E50,5)</f>
        <v>0.14394000000000001</v>
      </c>
      <c r="F53" s="123">
        <f>ROUND(SUM(F43:F45)/F50,5)</f>
        <v>0.1376</v>
      </c>
      <c r="G53" s="123">
        <f t="shared" ref="G53:H53" si="35">ROUND(SUM(G43:G45)/G50,5)</f>
        <v>0.12096999999999999</v>
      </c>
      <c r="H53" s="123">
        <f t="shared" si="35"/>
        <v>8.7739999999999999E-2</v>
      </c>
      <c r="I53" s="123">
        <f>ROUND(SUM(I43:I45)/I50,5)</f>
        <v>9.5089999999999994E-2</v>
      </c>
      <c r="J53" s="123">
        <f>ROUND(SUM(J43:J45)/J50,5)</f>
        <v>8.2100000000000006E-2</v>
      </c>
      <c r="K53" s="124"/>
    </row>
    <row r="54" spans="1:11" x14ac:dyDescent="0.2">
      <c r="A54" s="26">
        <f t="shared" si="1"/>
        <v>46</v>
      </c>
      <c r="B54" s="50" t="s">
        <v>116</v>
      </c>
      <c r="C54" s="47"/>
      <c r="D54" s="125"/>
      <c r="E54" s="126">
        <f>ROUND($D$46/$D$9,5)</f>
        <v>1.3600000000000001E-3</v>
      </c>
      <c r="F54" s="126">
        <f t="shared" ref="F54:J54" si="36">ROUND($D$46/$D$9,5)</f>
        <v>1.3600000000000001E-3</v>
      </c>
      <c r="G54" s="126">
        <f t="shared" si="36"/>
        <v>1.3600000000000001E-3</v>
      </c>
      <c r="H54" s="126">
        <f t="shared" si="36"/>
        <v>1.3600000000000001E-3</v>
      </c>
      <c r="I54" s="126">
        <f t="shared" si="36"/>
        <v>1.3600000000000001E-3</v>
      </c>
      <c r="J54" s="126">
        <f t="shared" si="36"/>
        <v>1.3600000000000001E-3</v>
      </c>
      <c r="K54" s="127"/>
    </row>
    <row r="55" spans="1:11" x14ac:dyDescent="0.2">
      <c r="A55" s="26">
        <f t="shared" si="1"/>
        <v>47</v>
      </c>
      <c r="B55" s="45" t="s">
        <v>10</v>
      </c>
      <c r="C55" s="116"/>
      <c r="D55" s="128"/>
      <c r="E55" s="129">
        <f>SUM(E53:E54)</f>
        <v>0.14530000000000001</v>
      </c>
      <c r="F55" s="129">
        <f t="shared" ref="F55:K55" si="37">SUM(F53:F54)</f>
        <v>0.13896</v>
      </c>
      <c r="G55" s="129">
        <f t="shared" si="37"/>
        <v>0.12232999999999999</v>
      </c>
      <c r="H55" s="129">
        <f t="shared" si="37"/>
        <v>8.9099999999999999E-2</v>
      </c>
      <c r="I55" s="129">
        <f t="shared" si="37"/>
        <v>9.6449999999999994E-2</v>
      </c>
      <c r="J55" s="129">
        <f t="shared" si="37"/>
        <v>8.3460000000000006E-2</v>
      </c>
      <c r="K55" s="130">
        <f t="shared" si="37"/>
        <v>0</v>
      </c>
    </row>
    <row r="56" spans="1:11" x14ac:dyDescent="0.2">
      <c r="A56" s="26"/>
    </row>
    <row r="57" spans="1:11" x14ac:dyDescent="0.2">
      <c r="A57" s="26"/>
      <c r="B57" s="4" t="s">
        <v>189</v>
      </c>
      <c r="E57" s="51"/>
      <c r="F57" s="51"/>
      <c r="G57" s="51"/>
      <c r="H57" s="51"/>
      <c r="I57" s="51"/>
      <c r="J57" s="51"/>
      <c r="K57" s="51"/>
    </row>
    <row r="58" spans="1:11" x14ac:dyDescent="0.2">
      <c r="A58" s="26"/>
      <c r="E58" s="51"/>
      <c r="F58" s="51"/>
      <c r="G58" s="51"/>
      <c r="H58" s="51"/>
      <c r="I58" s="51"/>
      <c r="J58" s="51"/>
      <c r="K58" s="51"/>
    </row>
    <row r="59" spans="1:11" x14ac:dyDescent="0.2">
      <c r="E59" s="51"/>
      <c r="F59" s="51"/>
      <c r="G59" s="51"/>
      <c r="H59" s="51"/>
      <c r="I59" s="51"/>
      <c r="J59" s="51"/>
      <c r="K59" s="51"/>
    </row>
  </sheetData>
  <pageMargins left="0.25" right="0.25" top="1" bottom="1" header="0.5" footer="0.5"/>
  <pageSetup scale="68" orientation="landscape" blackAndWhite="1" r:id="rId1"/>
  <headerFooter alignWithMargins="0">
    <oddFooter>&amp;L&amp;F
&amp;A&amp;RPage# &amp;P of &amp;N</oddFooter>
  </headerFooter>
  <customProperties>
    <customPr name="_pios_id" r:id="rId2"/>
    <customPr name="EpmWorksheetKeyString_GUID" r:id="rId3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selection activeCell="K18" sqref="K18"/>
    </sheetView>
  </sheetViews>
  <sheetFormatPr defaultRowHeight="11.25" x14ac:dyDescent="0.2"/>
  <cols>
    <col min="1" max="1" width="7" style="466" customWidth="1"/>
    <col min="2" max="2" width="61.28515625" style="466" customWidth="1"/>
    <col min="3" max="3" width="3.85546875" style="466" customWidth="1"/>
    <col min="4" max="4" width="9.140625" style="466"/>
    <col min="5" max="5" width="14.5703125" style="466" customWidth="1"/>
    <col min="6" max="16384" width="9.140625" style="466"/>
  </cols>
  <sheetData>
    <row r="1" spans="1:7" x14ac:dyDescent="0.2">
      <c r="A1" s="72"/>
      <c r="B1" s="72"/>
      <c r="C1" s="72"/>
      <c r="D1" s="72"/>
      <c r="E1" s="75"/>
    </row>
    <row r="2" spans="1:7" x14ac:dyDescent="0.2">
      <c r="A2" s="72"/>
      <c r="B2" s="543" t="s">
        <v>346</v>
      </c>
      <c r="C2" s="543"/>
      <c r="D2" s="543"/>
      <c r="E2" s="543"/>
    </row>
    <row r="3" spans="1:7" x14ac:dyDescent="0.2">
      <c r="A3" s="72"/>
      <c r="B3" s="543" t="s">
        <v>347</v>
      </c>
      <c r="C3" s="543"/>
      <c r="D3" s="543"/>
      <c r="E3" s="543"/>
    </row>
    <row r="4" spans="1:7" x14ac:dyDescent="0.2">
      <c r="A4" s="58"/>
      <c r="B4" s="543" t="s">
        <v>156</v>
      </c>
      <c r="C4" s="543"/>
      <c r="D4" s="543"/>
      <c r="E4" s="543"/>
    </row>
    <row r="5" spans="1:7" x14ac:dyDescent="0.2">
      <c r="A5" s="74"/>
      <c r="B5" s="543" t="s">
        <v>343</v>
      </c>
      <c r="C5" s="543"/>
      <c r="D5" s="543"/>
      <c r="E5" s="543"/>
    </row>
    <row r="6" spans="1:7" x14ac:dyDescent="0.2">
      <c r="A6" s="73"/>
      <c r="B6" s="543" t="s">
        <v>344</v>
      </c>
      <c r="C6" s="543"/>
      <c r="D6" s="543"/>
      <c r="E6" s="543"/>
    </row>
    <row r="7" spans="1:7" x14ac:dyDescent="0.2">
      <c r="A7" s="73"/>
      <c r="B7" s="559" t="s">
        <v>345</v>
      </c>
      <c r="C7" s="559"/>
      <c r="D7" s="559"/>
      <c r="E7" s="559"/>
    </row>
    <row r="8" spans="1:7" x14ac:dyDescent="0.2">
      <c r="A8" s="72"/>
      <c r="B8" s="72"/>
      <c r="C8" s="72"/>
      <c r="D8" s="72"/>
      <c r="E8" s="72"/>
    </row>
    <row r="9" spans="1:7" x14ac:dyDescent="0.2">
      <c r="A9" s="147" t="s">
        <v>155</v>
      </c>
      <c r="B9" s="72"/>
      <c r="C9" s="72"/>
      <c r="D9" s="72"/>
      <c r="E9" s="72"/>
    </row>
    <row r="10" spans="1:7" x14ac:dyDescent="0.2">
      <c r="A10" s="71" t="s">
        <v>154</v>
      </c>
      <c r="B10" s="70" t="s">
        <v>153</v>
      </c>
      <c r="C10" s="69"/>
      <c r="D10" s="69"/>
      <c r="E10" s="68" t="s">
        <v>152</v>
      </c>
    </row>
    <row r="11" spans="1:7" x14ac:dyDescent="0.2">
      <c r="A11" s="62"/>
      <c r="B11" s="62" t="s">
        <v>150</v>
      </c>
      <c r="C11" s="62"/>
      <c r="D11" s="62"/>
      <c r="E11" s="65"/>
    </row>
    <row r="12" spans="1:7" x14ac:dyDescent="0.2">
      <c r="A12" s="61">
        <v>1</v>
      </c>
      <c r="B12" s="64" t="s">
        <v>151</v>
      </c>
      <c r="C12" s="62"/>
      <c r="D12" s="62"/>
      <c r="E12" s="174">
        <v>4.1980000000000003E-3</v>
      </c>
    </row>
    <row r="13" spans="1:7" x14ac:dyDescent="0.2">
      <c r="A13" s="61">
        <v>2</v>
      </c>
      <c r="B13" s="173" t="s">
        <v>150</v>
      </c>
      <c r="C13" s="468"/>
      <c r="D13" s="468"/>
      <c r="E13" s="174">
        <v>5.0000000000000001E-3</v>
      </c>
      <c r="F13" s="467"/>
      <c r="G13" s="62"/>
    </row>
    <row r="14" spans="1:7" x14ac:dyDescent="0.2">
      <c r="A14" s="61">
        <v>3</v>
      </c>
      <c r="B14" s="64" t="str">
        <f>"STATE UTILITY TAX - NET OF BAD DEBTS ( "&amp;D14*100&amp;"% - ( LINE 1 * "&amp;D14*100&amp;"%) )"</f>
        <v>STATE UTILITY TAX - NET OF BAD DEBTS ( 3.852% - ( LINE 1 * 3.852%) )</v>
      </c>
      <c r="C14" s="62"/>
      <c r="D14" s="154">
        <v>3.8519999999999999E-2</v>
      </c>
      <c r="E14" s="67">
        <f>ROUND(D14-(D14*E12),6)</f>
        <v>3.8358000000000003E-2</v>
      </c>
    </row>
    <row r="15" spans="1:7" x14ac:dyDescent="0.2">
      <c r="A15" s="61">
        <v>4</v>
      </c>
      <c r="B15" s="64"/>
      <c r="C15" s="62"/>
      <c r="D15" s="62"/>
      <c r="E15" s="66"/>
    </row>
    <row r="16" spans="1:7" x14ac:dyDescent="0.2">
      <c r="A16" s="61">
        <v>5</v>
      </c>
      <c r="B16" s="64" t="s">
        <v>149</v>
      </c>
      <c r="C16" s="62"/>
      <c r="D16" s="62"/>
      <c r="E16" s="65">
        <f>ROUND(SUM(E12:E14),6)</f>
        <v>4.7556000000000001E-2</v>
      </c>
    </row>
    <row r="17" spans="1:5" x14ac:dyDescent="0.2">
      <c r="A17" s="61">
        <v>6</v>
      </c>
      <c r="B17" s="62"/>
      <c r="C17" s="62"/>
      <c r="D17" s="62"/>
      <c r="E17" s="65"/>
    </row>
    <row r="18" spans="1:5" x14ac:dyDescent="0.2">
      <c r="A18" s="61">
        <v>7</v>
      </c>
      <c r="B18" s="62" t="s">
        <v>148</v>
      </c>
      <c r="C18" s="62"/>
      <c r="D18" s="62"/>
      <c r="E18" s="65">
        <f>ROUND(1-E16,6)</f>
        <v>0.95244399999999996</v>
      </c>
    </row>
    <row r="19" spans="1:5" x14ac:dyDescent="0.2">
      <c r="A19" s="61">
        <v>8</v>
      </c>
      <c r="B19" s="64" t="s">
        <v>147</v>
      </c>
      <c r="C19" s="62"/>
      <c r="D19" s="155">
        <v>0.21</v>
      </c>
      <c r="E19" s="65">
        <f>ROUND((E18)*D19,6)</f>
        <v>0.200013</v>
      </c>
    </row>
    <row r="20" spans="1:5" x14ac:dyDescent="0.2">
      <c r="A20" s="61">
        <v>9</v>
      </c>
      <c r="B20" s="64" t="s">
        <v>146</v>
      </c>
      <c r="C20" s="62"/>
      <c r="D20" s="62"/>
      <c r="E20" s="63">
        <f>ROUND(1-E19-E16,6)</f>
        <v>0.75243099999999996</v>
      </c>
    </row>
    <row r="21" spans="1:5" x14ac:dyDescent="0.2">
      <c r="A21" s="62"/>
      <c r="B21" s="62"/>
      <c r="C21" s="62"/>
      <c r="D21" s="62"/>
      <c r="E21" s="61"/>
    </row>
    <row r="22" spans="1:5" x14ac:dyDescent="0.2">
      <c r="B22" s="62"/>
      <c r="C22" s="62"/>
      <c r="D22" s="62"/>
      <c r="E22" s="61"/>
    </row>
    <row r="23" spans="1:5" x14ac:dyDescent="0.2">
      <c r="A23" s="156" t="s">
        <v>348</v>
      </c>
      <c r="B23" s="58"/>
      <c r="C23" s="58"/>
      <c r="D23" s="58"/>
      <c r="E23" s="58"/>
    </row>
    <row r="24" spans="1:5" x14ac:dyDescent="0.2">
      <c r="A24" s="58"/>
      <c r="B24" s="58"/>
      <c r="C24" s="58"/>
      <c r="D24" s="58"/>
      <c r="E24" s="60"/>
    </row>
    <row r="25" spans="1:5" ht="12" thickBot="1" x14ac:dyDescent="0.25">
      <c r="A25" s="58"/>
      <c r="B25" s="58" t="s">
        <v>29</v>
      </c>
      <c r="C25" s="58"/>
      <c r="D25" s="58"/>
      <c r="E25" s="59">
        <f>1/E18</f>
        <v>1.0499304946012575</v>
      </c>
    </row>
    <row r="26" spans="1:5" ht="12" thickTop="1" x14ac:dyDescent="0.2">
      <c r="A26" s="58"/>
      <c r="B26" s="58"/>
      <c r="C26" s="58"/>
      <c r="D26" s="58"/>
      <c r="E26" s="58"/>
    </row>
    <row r="27" spans="1:5" x14ac:dyDescent="0.2">
      <c r="B27" s="58"/>
      <c r="C27" s="58"/>
      <c r="D27" s="58"/>
      <c r="E27" s="58"/>
    </row>
    <row r="28" spans="1:5" x14ac:dyDescent="0.2">
      <c r="A28" s="58"/>
      <c r="B28" s="62"/>
      <c r="C28" s="58"/>
      <c r="D28" s="58"/>
      <c r="E28" s="58"/>
    </row>
  </sheetData>
  <mergeCells count="6">
    <mergeCell ref="B7:E7"/>
    <mergeCell ref="B2:E2"/>
    <mergeCell ref="B3:E3"/>
    <mergeCell ref="B4:E4"/>
    <mergeCell ref="B5:E5"/>
    <mergeCell ref="B6:E6"/>
  </mergeCells>
  <pageMargins left="0.7" right="0.7" top="0.75" bottom="0.75" header="0.3" footer="0.3"/>
  <pageSetup scale="93" orientation="portrait" horizontalDpi="90" verticalDpi="90" r:id="rId1"/>
  <headerFooter>
    <oddFooter>&amp;L&amp;F
&amp;A&amp;RPage# &amp;P of &amp;N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S74"/>
  <sheetViews>
    <sheetView tabSelected="1" zoomScaleNormal="100" workbookViewId="0">
      <pane ySplit="8" topLeftCell="A9" activePane="bottomLeft" state="frozen"/>
      <selection pane="bottomLeft" activeCell="R47" sqref="R47"/>
    </sheetView>
  </sheetViews>
  <sheetFormatPr defaultColWidth="9.140625" defaultRowHeight="11.25" x14ac:dyDescent="0.2"/>
  <cols>
    <col min="1" max="1" width="2.140625" style="4" customWidth="1"/>
    <col min="2" max="2" width="4.42578125" style="4" customWidth="1"/>
    <col min="3" max="3" width="54.7109375" style="4" bestFit="1" customWidth="1"/>
    <col min="4" max="4" width="11.5703125" style="4" bestFit="1" customWidth="1"/>
    <col min="5" max="5" width="14" style="4" bestFit="1" customWidth="1"/>
    <col min="6" max="6" width="10.7109375" style="4" bestFit="1" customWidth="1"/>
    <col min="7" max="7" width="11.7109375" style="4" bestFit="1" customWidth="1"/>
    <col min="8" max="8" width="12.140625" style="4" customWidth="1"/>
    <col min="9" max="9" width="12.42578125" style="4" bestFit="1" customWidth="1"/>
    <col min="10" max="10" width="11.5703125" style="4" bestFit="1" customWidth="1"/>
    <col min="11" max="11" width="11.42578125" style="4" customWidth="1"/>
    <col min="12" max="12" width="3.7109375" style="4" customWidth="1"/>
    <col min="13" max="13" width="11.5703125" style="4" bestFit="1" customWidth="1"/>
    <col min="14" max="14" width="3.7109375" style="4" customWidth="1"/>
    <col min="15" max="15" width="3.42578125" style="4" customWidth="1"/>
    <col min="16" max="16" width="3.85546875" style="4" bestFit="1" customWidth="1"/>
    <col min="17" max="17" width="9.140625" style="4"/>
    <col min="18" max="18" width="12" style="4" customWidth="1"/>
    <col min="19" max="16384" width="9.140625" style="4"/>
  </cols>
  <sheetData>
    <row r="1" spans="2:18" ht="12.75" customHeight="1" x14ac:dyDescent="0.2">
      <c r="B1" s="1" t="s">
        <v>11</v>
      </c>
      <c r="C1" s="1"/>
      <c r="D1" s="1"/>
      <c r="E1" s="1"/>
      <c r="F1" s="11"/>
      <c r="G1" s="1"/>
      <c r="H1" s="1"/>
      <c r="I1" s="1"/>
      <c r="J1" s="11"/>
      <c r="K1" s="11"/>
      <c r="L1" s="21"/>
      <c r="M1" s="21"/>
      <c r="N1" s="21"/>
      <c r="O1" s="21"/>
    </row>
    <row r="2" spans="2:18" ht="11.25" customHeight="1" x14ac:dyDescent="0.2">
      <c r="B2" s="1" t="s">
        <v>198</v>
      </c>
      <c r="C2" s="3"/>
      <c r="D2" s="3"/>
      <c r="E2" s="148"/>
      <c r="F2" s="11"/>
      <c r="G2" s="3"/>
      <c r="H2" s="3"/>
      <c r="I2" s="3"/>
      <c r="J2" s="11"/>
      <c r="K2" s="11"/>
      <c r="L2" s="21"/>
      <c r="M2" s="21"/>
      <c r="N2" s="21"/>
      <c r="O2" s="21"/>
    </row>
    <row r="3" spans="2:18" ht="11.25" customHeight="1" x14ac:dyDescent="0.2">
      <c r="B3" s="1" t="s">
        <v>187</v>
      </c>
      <c r="C3" s="1"/>
      <c r="D3" s="1"/>
      <c r="E3" s="1"/>
      <c r="F3" s="11"/>
      <c r="G3" s="1"/>
      <c r="H3" s="1"/>
      <c r="I3" s="1"/>
      <c r="J3" s="11"/>
      <c r="K3" s="11"/>
      <c r="L3" s="21"/>
      <c r="M3" s="21"/>
      <c r="N3" s="21"/>
      <c r="O3" s="21"/>
    </row>
    <row r="4" spans="2:18" ht="11.25" customHeight="1" x14ac:dyDescent="0.2">
      <c r="B4" s="1" t="s">
        <v>199</v>
      </c>
      <c r="C4" s="1"/>
      <c r="D4" s="1"/>
      <c r="E4" s="1"/>
      <c r="F4" s="11"/>
      <c r="G4" s="1"/>
      <c r="H4" s="1"/>
      <c r="I4" s="1"/>
      <c r="J4" s="11"/>
      <c r="K4" s="11"/>
      <c r="L4" s="21"/>
      <c r="M4" s="21"/>
      <c r="N4" s="21"/>
      <c r="O4" s="21"/>
    </row>
    <row r="5" spans="2:18" ht="12.75" customHeight="1" x14ac:dyDescent="0.2">
      <c r="L5" s="21"/>
      <c r="M5" s="21"/>
      <c r="N5" s="21"/>
      <c r="O5" s="21"/>
    </row>
    <row r="6" spans="2:18" x14ac:dyDescent="0.2">
      <c r="D6" s="131"/>
      <c r="E6" s="53" t="s">
        <v>14</v>
      </c>
      <c r="F6" s="54"/>
      <c r="G6" s="53" t="s">
        <v>15</v>
      </c>
      <c r="H6" s="54"/>
      <c r="I6" s="53" t="s">
        <v>38</v>
      </c>
      <c r="J6" s="55"/>
      <c r="K6" s="54"/>
      <c r="L6" s="21"/>
      <c r="M6" s="21"/>
      <c r="N6" s="21"/>
      <c r="O6" s="21"/>
    </row>
    <row r="7" spans="2:18" x14ac:dyDescent="0.2">
      <c r="B7" s="14" t="s">
        <v>13</v>
      </c>
      <c r="C7" s="14" t="s">
        <v>20</v>
      </c>
      <c r="D7" s="132" t="s">
        <v>10</v>
      </c>
      <c r="E7" s="52">
        <v>23</v>
      </c>
      <c r="F7" s="52">
        <v>16</v>
      </c>
      <c r="G7" s="52">
        <v>31</v>
      </c>
      <c r="H7" s="52">
        <v>41</v>
      </c>
      <c r="I7" s="52">
        <v>85</v>
      </c>
      <c r="J7" s="52">
        <v>86</v>
      </c>
      <c r="K7" s="52">
        <v>87</v>
      </c>
      <c r="L7" s="21"/>
      <c r="M7" s="27"/>
      <c r="N7" s="27"/>
      <c r="O7" s="27"/>
    </row>
    <row r="8" spans="2:18" x14ac:dyDescent="0.2">
      <c r="B8" s="5"/>
      <c r="C8" s="175" t="s">
        <v>4</v>
      </c>
      <c r="D8" s="176" t="s">
        <v>5</v>
      </c>
      <c r="E8" s="176" t="s">
        <v>170</v>
      </c>
      <c r="F8" s="175" t="s">
        <v>6</v>
      </c>
      <c r="G8" s="176" t="s">
        <v>349</v>
      </c>
      <c r="H8" s="176" t="s">
        <v>350</v>
      </c>
      <c r="I8" s="175" t="s">
        <v>16</v>
      </c>
      <c r="J8" s="176" t="s">
        <v>351</v>
      </c>
      <c r="K8" s="5" t="s">
        <v>352</v>
      </c>
      <c r="L8" s="21"/>
      <c r="M8" s="27"/>
      <c r="N8" s="27"/>
      <c r="O8" s="27"/>
    </row>
    <row r="9" spans="2:18" x14ac:dyDescent="0.2">
      <c r="B9" s="5"/>
      <c r="C9" s="133" t="s">
        <v>12</v>
      </c>
      <c r="D9" s="5"/>
      <c r="E9" s="5"/>
      <c r="F9" s="5"/>
      <c r="G9" s="5"/>
      <c r="H9" s="5"/>
      <c r="I9" s="5"/>
      <c r="J9" s="5"/>
      <c r="K9" s="5"/>
      <c r="L9" s="21"/>
      <c r="M9" s="27"/>
      <c r="N9" s="27"/>
      <c r="O9" s="27"/>
    </row>
    <row r="10" spans="2:18" x14ac:dyDescent="0.2">
      <c r="B10" s="5">
        <v>1</v>
      </c>
      <c r="C10" s="4" t="s">
        <v>27</v>
      </c>
      <c r="D10" s="5"/>
      <c r="E10" s="479">
        <v>0</v>
      </c>
      <c r="F10" s="479">
        <v>0</v>
      </c>
      <c r="G10" s="479">
        <v>0</v>
      </c>
      <c r="H10" s="479">
        <v>1</v>
      </c>
      <c r="I10" s="479">
        <v>1</v>
      </c>
      <c r="J10" s="479">
        <v>1</v>
      </c>
      <c r="K10" s="479">
        <v>1</v>
      </c>
      <c r="L10" s="21"/>
      <c r="M10" s="27"/>
      <c r="N10" s="27"/>
      <c r="O10" s="27"/>
    </row>
    <row r="11" spans="2:18" x14ac:dyDescent="0.2">
      <c r="B11" s="5">
        <f>B10+1</f>
        <v>2</v>
      </c>
      <c r="C11" s="4" t="s">
        <v>26</v>
      </c>
      <c r="D11" s="12"/>
      <c r="E11" s="480">
        <v>0.14152000000000001</v>
      </c>
      <c r="F11" s="480">
        <v>0.14152000000000001</v>
      </c>
      <c r="G11" s="480">
        <v>0.13528999999999999</v>
      </c>
      <c r="H11" s="480">
        <v>3.9149999999999997E-2</v>
      </c>
      <c r="I11" s="480">
        <v>7.8619999999999995E-2</v>
      </c>
      <c r="J11" s="480">
        <v>8.6540000000000006E-2</v>
      </c>
      <c r="K11" s="480">
        <v>8.072E-2</v>
      </c>
      <c r="L11" s="21"/>
      <c r="M11" s="27"/>
      <c r="N11" s="27"/>
      <c r="O11" s="27"/>
    </row>
    <row r="12" spans="2:18" x14ac:dyDescent="0.2">
      <c r="B12" s="5">
        <f>B11+1</f>
        <v>3</v>
      </c>
      <c r="C12" s="4" t="s">
        <v>200</v>
      </c>
      <c r="D12" s="19">
        <f>SUM(E12:K12)</f>
        <v>5384232</v>
      </c>
      <c r="E12" s="166">
        <f>'F2024 Forecast '!$N20</f>
        <v>0</v>
      </c>
      <c r="F12" s="166">
        <f>'F2024 Forecast '!$N21</f>
        <v>0</v>
      </c>
      <c r="G12" s="166">
        <f>'F2024 Forecast '!$N22</f>
        <v>0</v>
      </c>
      <c r="H12" s="166">
        <f>'F2024 Forecast '!$N23</f>
        <v>5210928</v>
      </c>
      <c r="I12" s="166">
        <f>'F2024 Forecast '!$N24</f>
        <v>141420</v>
      </c>
      <c r="J12" s="166">
        <f>'F2024 Forecast '!$N25</f>
        <v>31884</v>
      </c>
      <c r="K12" s="166">
        <f>'F2024 Forecast '!$N26</f>
        <v>0</v>
      </c>
      <c r="L12" s="21"/>
      <c r="M12" s="134"/>
      <c r="N12" s="27"/>
      <c r="O12" s="27"/>
      <c r="R12" s="135"/>
    </row>
    <row r="13" spans="2:18" x14ac:dyDescent="0.2">
      <c r="B13" s="5">
        <f>B12+1</f>
        <v>4</v>
      </c>
      <c r="C13" s="4" t="s">
        <v>201</v>
      </c>
      <c r="D13" s="57">
        <f>SUM(E13:K13)</f>
        <v>897586976</v>
      </c>
      <c r="E13" s="166">
        <f>'F2024 Forecast '!$N8</f>
        <v>563377415</v>
      </c>
      <c r="F13" s="166">
        <f>'F2024 Forecast '!$N9</f>
        <v>6156</v>
      </c>
      <c r="G13" s="166">
        <f>'F2024 Forecast '!$N10</f>
        <v>230116288</v>
      </c>
      <c r="H13" s="166">
        <f>'F2024 Forecast '!$N11</f>
        <v>63059025</v>
      </c>
      <c r="I13" s="166">
        <f>'F2024 Forecast '!$N12</f>
        <v>17533752</v>
      </c>
      <c r="J13" s="166">
        <f>'F2024 Forecast '!$N13</f>
        <v>5007638</v>
      </c>
      <c r="K13" s="166">
        <f>'F2024 Forecast '!$N14</f>
        <v>18486702</v>
      </c>
      <c r="L13" s="21"/>
      <c r="M13" s="134"/>
      <c r="N13" s="27"/>
      <c r="O13" s="27"/>
      <c r="R13" s="135"/>
    </row>
    <row r="14" spans="2:18" x14ac:dyDescent="0.2">
      <c r="B14" s="5"/>
      <c r="D14" s="57"/>
      <c r="E14" s="136"/>
      <c r="F14" s="136"/>
      <c r="G14" s="136"/>
      <c r="H14" s="136"/>
      <c r="I14" s="136"/>
      <c r="J14" s="136"/>
      <c r="K14" s="136"/>
      <c r="L14" s="21"/>
      <c r="M14" s="27"/>
      <c r="N14" s="27"/>
      <c r="O14" s="27"/>
      <c r="R14" s="135"/>
    </row>
    <row r="15" spans="2:18" x14ac:dyDescent="0.2">
      <c r="B15" s="5">
        <f>B13+1</f>
        <v>5</v>
      </c>
      <c r="C15" s="4" t="s">
        <v>49</v>
      </c>
      <c r="D15" s="137"/>
      <c r="E15" s="167">
        <f>'2022 GRC Gas Cost Allocation'!E53</f>
        <v>0.14394000000000001</v>
      </c>
      <c r="F15" s="167">
        <f>'2022 GRC Gas Cost Allocation'!E53</f>
        <v>0.14394000000000001</v>
      </c>
      <c r="G15" s="167">
        <f>'2022 GRC Gas Cost Allocation'!F53</f>
        <v>0.1376</v>
      </c>
      <c r="H15" s="167">
        <f>'2022 GRC Gas Cost Allocation'!G53</f>
        <v>0.12096999999999999</v>
      </c>
      <c r="I15" s="167">
        <f>'2022 GRC Gas Cost Allocation'!H53</f>
        <v>8.7739999999999999E-2</v>
      </c>
      <c r="J15" s="167">
        <f>'2022 GRC Gas Cost Allocation'!I53</f>
        <v>9.5089999999999994E-2</v>
      </c>
      <c r="K15" s="167">
        <f>'2022 GRC Gas Cost Allocation'!J53</f>
        <v>8.2100000000000006E-2</v>
      </c>
      <c r="L15" s="21"/>
      <c r="M15" s="134"/>
      <c r="N15" s="27"/>
      <c r="O15" s="27"/>
      <c r="R15" s="135"/>
    </row>
    <row r="16" spans="2:18" x14ac:dyDescent="0.2">
      <c r="B16" s="5">
        <f>B15+1</f>
        <v>6</v>
      </c>
      <c r="C16" s="4" t="s">
        <v>54</v>
      </c>
      <c r="D16" s="9">
        <f>SUM(E16:K16)</f>
        <v>123918028.62489001</v>
      </c>
      <c r="E16" s="9">
        <f>E13*E15</f>
        <v>81092545.115100011</v>
      </c>
      <c r="F16" s="9">
        <f t="shared" ref="F16:K16" si="0">F13*F15</f>
        <v>886.09464000000003</v>
      </c>
      <c r="G16" s="9">
        <f t="shared" si="0"/>
        <v>31664001.228799999</v>
      </c>
      <c r="H16" s="9">
        <f t="shared" si="0"/>
        <v>7628250.2542499993</v>
      </c>
      <c r="I16" s="9">
        <f t="shared" si="0"/>
        <v>1538411.4004800001</v>
      </c>
      <c r="J16" s="9">
        <f t="shared" si="0"/>
        <v>476176.29741999996</v>
      </c>
      <c r="K16" s="9">
        <f t="shared" si="0"/>
        <v>1517758.2342000001</v>
      </c>
      <c r="L16" s="21"/>
      <c r="M16" s="27"/>
      <c r="N16" s="27"/>
      <c r="O16" s="27"/>
      <c r="R16" s="135"/>
    </row>
    <row r="17" spans="2:18" x14ac:dyDescent="0.2">
      <c r="B17" s="5"/>
      <c r="F17" s="138"/>
      <c r="L17" s="21"/>
      <c r="M17" s="27"/>
      <c r="N17" s="27"/>
      <c r="O17" s="27"/>
      <c r="R17" s="135"/>
    </row>
    <row r="18" spans="2:18" x14ac:dyDescent="0.2">
      <c r="B18" s="5">
        <f>B16+1</f>
        <v>7</v>
      </c>
      <c r="C18" s="4" t="s">
        <v>52</v>
      </c>
      <c r="D18" s="478">
        <f>'(R) PGA Cost Summary'!H96</f>
        <v>119683321.37787147</v>
      </c>
      <c r="E18" s="9">
        <f>$D18*(E16/$D16)</f>
        <v>78321332.626579866</v>
      </c>
      <c r="F18" s="9">
        <f>$D18*(F16/$D16)</f>
        <v>855.81372417853413</v>
      </c>
      <c r="G18" s="9">
        <f t="shared" ref="G18:K18" si="1">$D18*(G16/$D16)</f>
        <v>30581932.889260009</v>
      </c>
      <c r="H18" s="9">
        <f t="shared" si="1"/>
        <v>7367566.5830181995</v>
      </c>
      <c r="I18" s="9">
        <f t="shared" si="1"/>
        <v>1485838.5668188934</v>
      </c>
      <c r="J18" s="9">
        <f t="shared" si="1"/>
        <v>459903.70787092845</v>
      </c>
      <c r="K18" s="9">
        <f t="shared" si="1"/>
        <v>1465891.1905993901</v>
      </c>
      <c r="L18" s="21"/>
      <c r="M18" s="139"/>
      <c r="N18" s="27"/>
      <c r="O18" s="27"/>
      <c r="R18" s="135"/>
    </row>
    <row r="19" spans="2:18" x14ac:dyDescent="0.2">
      <c r="B19" s="5">
        <f>B18+1</f>
        <v>8</v>
      </c>
      <c r="C19" s="4" t="s">
        <v>50</v>
      </c>
      <c r="D19" s="7">
        <f>SUM(E19:K19)</f>
        <v>1</v>
      </c>
      <c r="E19" s="7">
        <f>E18/$D$18</f>
        <v>0.65440473847896474</v>
      </c>
      <c r="F19" s="7">
        <f t="shared" ref="F19:K19" si="2">F18/$D$18</f>
        <v>7.1506515220822368E-6</v>
      </c>
      <c r="G19" s="7">
        <f t="shared" si="2"/>
        <v>0.25552376502574548</v>
      </c>
      <c r="H19" s="7">
        <f t="shared" si="2"/>
        <v>6.1558841267087418E-2</v>
      </c>
      <c r="I19" s="7">
        <f t="shared" si="2"/>
        <v>1.2414750440687666E-2</v>
      </c>
      <c r="J19" s="7">
        <f t="shared" si="2"/>
        <v>3.8426716653266369E-3</v>
      </c>
      <c r="K19" s="7">
        <f t="shared" si="2"/>
        <v>1.2248082470665977E-2</v>
      </c>
      <c r="L19" s="21"/>
      <c r="M19" s="27"/>
      <c r="N19" s="27"/>
      <c r="O19" s="27"/>
      <c r="R19" s="135"/>
    </row>
    <row r="20" spans="2:18" x14ac:dyDescent="0.2">
      <c r="B20" s="5"/>
      <c r="L20" s="21"/>
      <c r="M20" s="27"/>
      <c r="N20" s="27"/>
      <c r="O20" s="27"/>
      <c r="R20" s="135"/>
    </row>
    <row r="21" spans="2:18" x14ac:dyDescent="0.2">
      <c r="B21" s="5">
        <f>B19+1</f>
        <v>9</v>
      </c>
      <c r="C21" s="4" t="s">
        <v>51</v>
      </c>
      <c r="E21" s="6">
        <v>0</v>
      </c>
      <c r="F21" s="6">
        <v>0</v>
      </c>
      <c r="G21" s="6">
        <v>0</v>
      </c>
      <c r="H21" s="6">
        <v>1</v>
      </c>
      <c r="I21" s="6">
        <v>1</v>
      </c>
      <c r="J21" s="6">
        <v>1</v>
      </c>
      <c r="K21" s="6">
        <v>1</v>
      </c>
      <c r="L21" s="21"/>
      <c r="M21" s="134"/>
      <c r="N21" s="27"/>
      <c r="O21" s="27"/>
      <c r="R21" s="135"/>
    </row>
    <row r="22" spans="2:18" x14ac:dyDescent="0.2">
      <c r="B22" s="5">
        <f>B21+1</f>
        <v>10</v>
      </c>
      <c r="C22" s="4" t="s">
        <v>55</v>
      </c>
      <c r="D22" s="9">
        <f>SUM(E22:K22)</f>
        <v>5384232</v>
      </c>
      <c r="E22" s="9">
        <f>E21*E12</f>
        <v>0</v>
      </c>
      <c r="F22" s="9">
        <f t="shared" ref="F22:G22" si="3">F21*F12</f>
        <v>0</v>
      </c>
      <c r="G22" s="9">
        <f t="shared" si="3"/>
        <v>0</v>
      </c>
      <c r="H22" s="9">
        <f>H21*H12</f>
        <v>5210928</v>
      </c>
      <c r="I22" s="9">
        <f t="shared" ref="I22:K22" si="4">I21*I12</f>
        <v>141420</v>
      </c>
      <c r="J22" s="9">
        <f t="shared" si="4"/>
        <v>31884</v>
      </c>
      <c r="K22" s="9">
        <f t="shared" si="4"/>
        <v>0</v>
      </c>
      <c r="L22" s="21"/>
      <c r="M22" s="27"/>
      <c r="N22" s="27"/>
      <c r="O22" s="27"/>
      <c r="R22" s="135"/>
    </row>
    <row r="23" spans="2:18" x14ac:dyDescent="0.2">
      <c r="B23" s="5"/>
      <c r="L23" s="21"/>
      <c r="M23" s="27"/>
      <c r="N23" s="27"/>
      <c r="O23" s="27"/>
      <c r="R23" s="135"/>
    </row>
    <row r="24" spans="2:18" x14ac:dyDescent="0.2">
      <c r="B24" s="5">
        <f>B22+1</f>
        <v>11</v>
      </c>
      <c r="C24" s="4" t="s">
        <v>56</v>
      </c>
      <c r="D24" s="9">
        <f>SUM(E24:K24)</f>
        <v>114299089.37787147</v>
      </c>
      <c r="E24" s="9">
        <f>E18-E22</f>
        <v>78321332.626579866</v>
      </c>
      <c r="F24" s="9">
        <f t="shared" ref="F24:K24" si="5">F18-F22</f>
        <v>855.81372417853413</v>
      </c>
      <c r="G24" s="9">
        <f t="shared" si="5"/>
        <v>30581932.889260009</v>
      </c>
      <c r="H24" s="9">
        <f>H18-H22</f>
        <v>2156638.5830181995</v>
      </c>
      <c r="I24" s="9">
        <f t="shared" si="5"/>
        <v>1344418.5668188934</v>
      </c>
      <c r="J24" s="9">
        <f t="shared" si="5"/>
        <v>428019.70787092845</v>
      </c>
      <c r="K24" s="9">
        <f t="shared" si="5"/>
        <v>1465891.1905993901</v>
      </c>
      <c r="L24" s="21"/>
      <c r="M24" s="27"/>
      <c r="N24" s="27"/>
      <c r="O24" s="27"/>
      <c r="R24" s="135"/>
    </row>
    <row r="25" spans="2:18" x14ac:dyDescent="0.2">
      <c r="B25" s="5">
        <f>B24+1</f>
        <v>12</v>
      </c>
      <c r="C25" s="4" t="s">
        <v>57</v>
      </c>
      <c r="E25" s="140">
        <f>ROUND(E24/E13,5)</f>
        <v>0.13902</v>
      </c>
      <c r="F25" s="140">
        <f t="shared" ref="F25:K25" si="6">ROUND(F24/F13,5)</f>
        <v>0.13902</v>
      </c>
      <c r="G25" s="140">
        <f t="shared" si="6"/>
        <v>0.13289999999999999</v>
      </c>
      <c r="H25" s="140">
        <f t="shared" si="6"/>
        <v>3.4200000000000001E-2</v>
      </c>
      <c r="I25" s="140">
        <f t="shared" si="6"/>
        <v>7.6679999999999998E-2</v>
      </c>
      <c r="J25" s="140">
        <f t="shared" si="6"/>
        <v>8.5470000000000004E-2</v>
      </c>
      <c r="K25" s="140">
        <f t="shared" si="6"/>
        <v>7.9289999999999999E-2</v>
      </c>
      <c r="L25" s="21"/>
      <c r="M25" s="27"/>
      <c r="N25" s="27"/>
      <c r="O25" s="27"/>
      <c r="R25" s="135"/>
    </row>
    <row r="26" spans="2:18" x14ac:dyDescent="0.2">
      <c r="B26" s="5">
        <f>B25+1</f>
        <v>13</v>
      </c>
      <c r="C26" s="4" t="s">
        <v>58</v>
      </c>
      <c r="F26" s="138">
        <f>ROUND(F25*19,2)</f>
        <v>2.64</v>
      </c>
      <c r="L26" s="21"/>
      <c r="M26" s="27"/>
      <c r="N26" s="27"/>
      <c r="O26" s="27"/>
      <c r="R26" s="135"/>
    </row>
    <row r="27" spans="2:18" x14ac:dyDescent="0.2">
      <c r="B27" s="5"/>
      <c r="F27" s="138"/>
      <c r="L27" s="21"/>
      <c r="M27" s="27"/>
      <c r="N27" s="27"/>
      <c r="O27" s="27"/>
      <c r="R27" s="135"/>
    </row>
    <row r="28" spans="2:18" x14ac:dyDescent="0.2">
      <c r="B28" s="5">
        <f>B26+1</f>
        <v>14</v>
      </c>
      <c r="C28" s="4" t="s">
        <v>59</v>
      </c>
      <c r="D28" s="9">
        <f>SUM(E28:K28)</f>
        <v>119683190.89541999</v>
      </c>
      <c r="E28" s="9">
        <f>(E25*E13)+(E21*E12)</f>
        <v>78320728.2333</v>
      </c>
      <c r="F28" s="9">
        <f t="shared" ref="F28:K28" si="7">(F25*F13)+(F21*F12)</f>
        <v>855.80712000000005</v>
      </c>
      <c r="G28" s="9">
        <f t="shared" si="7"/>
        <v>30582454.675199997</v>
      </c>
      <c r="H28" s="9">
        <f t="shared" si="7"/>
        <v>7367546.6550000003</v>
      </c>
      <c r="I28" s="9">
        <f t="shared" si="7"/>
        <v>1485908.1033600001</v>
      </c>
      <c r="J28" s="9">
        <f t="shared" si="7"/>
        <v>459886.81986000005</v>
      </c>
      <c r="K28" s="9">
        <f t="shared" si="7"/>
        <v>1465810.60158</v>
      </c>
      <c r="L28" s="21"/>
      <c r="M28" s="27"/>
      <c r="N28" s="27"/>
      <c r="O28" s="27"/>
      <c r="R28" s="135"/>
    </row>
    <row r="29" spans="2:18" x14ac:dyDescent="0.2">
      <c r="B29" s="5">
        <f>B28+1</f>
        <v>15</v>
      </c>
      <c r="C29" s="4" t="s">
        <v>64</v>
      </c>
      <c r="D29" s="12"/>
      <c r="E29" s="8">
        <f>ROUND(E25-E11,5)</f>
        <v>-2.5000000000000001E-3</v>
      </c>
      <c r="F29" s="8">
        <f t="shared" ref="F29:K29" si="8">ROUND(F25-F11,5)</f>
        <v>-2.5000000000000001E-3</v>
      </c>
      <c r="G29" s="8">
        <f t="shared" si="8"/>
        <v>-2.3900000000000002E-3</v>
      </c>
      <c r="H29" s="8">
        <f t="shared" si="8"/>
        <v>-4.9500000000000004E-3</v>
      </c>
      <c r="I29" s="8">
        <f t="shared" si="8"/>
        <v>-1.9400000000000001E-3</v>
      </c>
      <c r="J29" s="8">
        <f t="shared" si="8"/>
        <v>-1.07E-3</v>
      </c>
      <c r="K29" s="8">
        <f t="shared" si="8"/>
        <v>-1.4300000000000001E-3</v>
      </c>
      <c r="L29" s="21"/>
      <c r="M29" s="27"/>
      <c r="N29" s="27"/>
      <c r="O29" s="27"/>
      <c r="R29" s="135"/>
    </row>
    <row r="30" spans="2:18" x14ac:dyDescent="0.2">
      <c r="B30" s="5">
        <f>B29+1</f>
        <v>16</v>
      </c>
      <c r="C30" s="4" t="s">
        <v>63</v>
      </c>
      <c r="E30" s="7">
        <f>E29/E11</f>
        <v>-1.7665347654041832E-2</v>
      </c>
      <c r="F30" s="7">
        <f t="shared" ref="F30:K30" si="9">F29/F11</f>
        <v>-1.7665347654041832E-2</v>
      </c>
      <c r="G30" s="7">
        <f t="shared" si="9"/>
        <v>-1.7665755044718755E-2</v>
      </c>
      <c r="H30" s="7">
        <f t="shared" si="9"/>
        <v>-0.12643678160919541</v>
      </c>
      <c r="I30" s="7">
        <f t="shared" si="9"/>
        <v>-2.4675655049605703E-2</v>
      </c>
      <c r="J30" s="7">
        <f t="shared" si="9"/>
        <v>-1.236422463600647E-2</v>
      </c>
      <c r="K30" s="7">
        <f t="shared" si="9"/>
        <v>-1.7715559960356789E-2</v>
      </c>
      <c r="L30" s="21"/>
      <c r="M30" s="27"/>
      <c r="N30" s="27"/>
      <c r="O30" s="27"/>
      <c r="R30" s="135"/>
    </row>
    <row r="31" spans="2:18" x14ac:dyDescent="0.2">
      <c r="B31" s="13"/>
      <c r="D31" s="9"/>
    </row>
    <row r="32" spans="2:18" x14ac:dyDescent="0.2">
      <c r="B32" s="13"/>
      <c r="C32" s="17" t="s">
        <v>17</v>
      </c>
      <c r="L32" s="21"/>
      <c r="M32" s="21"/>
      <c r="N32" s="21"/>
      <c r="O32" s="21"/>
    </row>
    <row r="33" spans="2:19" x14ac:dyDescent="0.2">
      <c r="B33" s="13">
        <f>B30+1</f>
        <v>17</v>
      </c>
      <c r="C33" s="4" t="s">
        <v>21</v>
      </c>
      <c r="E33" s="480">
        <v>0.38869999999999999</v>
      </c>
      <c r="F33" s="480">
        <v>0.38869999999999999</v>
      </c>
      <c r="G33" s="480">
        <v>0.38869999999999999</v>
      </c>
      <c r="H33" s="480">
        <v>0.38869999999999999</v>
      </c>
      <c r="I33" s="480">
        <v>0.38869999999999999</v>
      </c>
      <c r="J33" s="480">
        <v>0.38869999999999999</v>
      </c>
      <c r="K33" s="480">
        <v>0.38869999999999999</v>
      </c>
      <c r="L33" s="21"/>
      <c r="M33" s="21"/>
      <c r="N33" s="21"/>
      <c r="O33" s="21"/>
    </row>
    <row r="34" spans="2:19" x14ac:dyDescent="0.2">
      <c r="B34" s="13">
        <f>B33+1</f>
        <v>18</v>
      </c>
      <c r="C34" s="4" t="str">
        <f>+C13</f>
        <v>Projected Volume Nov. 24 - Oct. 25 (therms)</v>
      </c>
      <c r="D34" s="57">
        <f>SUM(E34:K34)</f>
        <v>897586976</v>
      </c>
      <c r="E34" s="57">
        <f t="shared" ref="E34:K34" si="10">E13</f>
        <v>563377415</v>
      </c>
      <c r="F34" s="57">
        <f t="shared" si="10"/>
        <v>6156</v>
      </c>
      <c r="G34" s="57">
        <f t="shared" si="10"/>
        <v>230116288</v>
      </c>
      <c r="H34" s="57">
        <f t="shared" si="10"/>
        <v>63059025</v>
      </c>
      <c r="I34" s="57">
        <f t="shared" si="10"/>
        <v>17533752</v>
      </c>
      <c r="J34" s="57">
        <f t="shared" si="10"/>
        <v>5007638</v>
      </c>
      <c r="K34" s="57">
        <f t="shared" si="10"/>
        <v>18486702</v>
      </c>
      <c r="L34" s="21"/>
      <c r="M34" s="21"/>
      <c r="N34" s="21"/>
      <c r="O34" s="21"/>
    </row>
    <row r="35" spans="2:19" x14ac:dyDescent="0.2">
      <c r="B35" s="13">
        <f>B34+1</f>
        <v>19</v>
      </c>
      <c r="C35" s="4" t="s">
        <v>65</v>
      </c>
      <c r="D35" s="9">
        <f>SUM(E35:K35)</f>
        <v>348892057.57120001</v>
      </c>
      <c r="E35" s="9">
        <f>E33*E34</f>
        <v>218984801.2105</v>
      </c>
      <c r="F35" s="9">
        <f t="shared" ref="F35:K35" si="11">F33*F34</f>
        <v>2392.8371999999999</v>
      </c>
      <c r="G35" s="9">
        <f t="shared" si="11"/>
        <v>89446201.145599991</v>
      </c>
      <c r="H35" s="9">
        <f t="shared" si="11"/>
        <v>24511043.017499998</v>
      </c>
      <c r="I35" s="9">
        <f t="shared" si="11"/>
        <v>6815369.4024</v>
      </c>
      <c r="J35" s="9">
        <f t="shared" si="11"/>
        <v>1946468.8906</v>
      </c>
      <c r="K35" s="9">
        <f t="shared" si="11"/>
        <v>7185781.0674000001</v>
      </c>
      <c r="L35" s="21"/>
      <c r="M35" s="21"/>
      <c r="N35" s="21"/>
      <c r="O35" s="21"/>
    </row>
    <row r="36" spans="2:19" x14ac:dyDescent="0.2">
      <c r="B36" s="13"/>
      <c r="D36" s="9"/>
      <c r="E36" s="9"/>
      <c r="F36" s="9"/>
      <c r="G36" s="9"/>
      <c r="H36" s="9"/>
      <c r="I36" s="9"/>
      <c r="J36" s="9"/>
      <c r="K36" s="9"/>
      <c r="L36" s="21"/>
      <c r="M36" s="21"/>
      <c r="N36" s="21"/>
      <c r="O36" s="21"/>
    </row>
    <row r="37" spans="2:19" x14ac:dyDescent="0.2">
      <c r="B37" s="13">
        <f>B35+1</f>
        <v>20</v>
      </c>
      <c r="C37" s="4" t="s">
        <v>31</v>
      </c>
      <c r="D37" s="478">
        <f>'(R) PGA Cost Summary'!I95</f>
        <v>348253096.72485787</v>
      </c>
      <c r="E37" s="9"/>
      <c r="F37" s="9"/>
      <c r="G37" s="9"/>
      <c r="H37" s="9"/>
      <c r="I37" s="9"/>
      <c r="J37" s="9"/>
      <c r="K37" s="9"/>
      <c r="L37" s="21"/>
      <c r="M37" s="139"/>
      <c r="N37" s="21"/>
      <c r="O37" s="21"/>
    </row>
    <row r="38" spans="2:19" x14ac:dyDescent="0.2">
      <c r="B38" s="13">
        <f>B37+1</f>
        <v>21</v>
      </c>
      <c r="C38" s="4" t="s">
        <v>66</v>
      </c>
      <c r="D38" s="8">
        <f>ROUND(D37/D34,5)</f>
        <v>0.38799</v>
      </c>
      <c r="E38" s="8">
        <f>$D$38</f>
        <v>0.38799</v>
      </c>
      <c r="F38" s="8">
        <f t="shared" ref="F38:K38" si="12">$D$38</f>
        <v>0.38799</v>
      </c>
      <c r="G38" s="8">
        <f t="shared" si="12"/>
        <v>0.38799</v>
      </c>
      <c r="H38" s="8">
        <f t="shared" si="12"/>
        <v>0.38799</v>
      </c>
      <c r="I38" s="8">
        <f t="shared" si="12"/>
        <v>0.38799</v>
      </c>
      <c r="J38" s="8">
        <f t="shared" si="12"/>
        <v>0.38799</v>
      </c>
      <c r="K38" s="8">
        <f t="shared" si="12"/>
        <v>0.38799</v>
      </c>
      <c r="L38" s="21"/>
      <c r="M38" s="21"/>
      <c r="N38" s="21"/>
      <c r="O38" s="21"/>
      <c r="R38" s="141"/>
      <c r="S38" s="29"/>
    </row>
    <row r="39" spans="2:19" x14ac:dyDescent="0.2">
      <c r="B39" s="13">
        <f>B38+1</f>
        <v>22</v>
      </c>
      <c r="C39" s="4" t="s">
        <v>67</v>
      </c>
      <c r="D39" s="9">
        <f>SUM(E39:K39)</f>
        <v>348254770</v>
      </c>
      <c r="E39" s="9">
        <f>ROUND(E34*E38,0)</f>
        <v>218584803</v>
      </c>
      <c r="F39" s="9">
        <f t="shared" ref="F39:K39" si="13">ROUND(F34*F38,0)</f>
        <v>2388</v>
      </c>
      <c r="G39" s="9">
        <f t="shared" si="13"/>
        <v>89282819</v>
      </c>
      <c r="H39" s="9">
        <f t="shared" si="13"/>
        <v>24466271</v>
      </c>
      <c r="I39" s="9">
        <f t="shared" si="13"/>
        <v>6802920</v>
      </c>
      <c r="J39" s="9">
        <f t="shared" si="13"/>
        <v>1942913</v>
      </c>
      <c r="K39" s="9">
        <f t="shared" si="13"/>
        <v>7172656</v>
      </c>
      <c r="L39" s="21"/>
      <c r="M39" s="21"/>
      <c r="N39" s="21"/>
      <c r="O39" s="21"/>
    </row>
    <row r="40" spans="2:19" x14ac:dyDescent="0.2">
      <c r="B40" s="13">
        <f>B39+1</f>
        <v>23</v>
      </c>
      <c r="C40" s="4" t="s">
        <v>68</v>
      </c>
      <c r="F40" s="28">
        <f>ROUND(F38*19,2)</f>
        <v>7.37</v>
      </c>
      <c r="L40" s="21"/>
      <c r="M40" s="21"/>
      <c r="N40" s="21"/>
      <c r="O40" s="21"/>
    </row>
    <row r="41" spans="2:19" x14ac:dyDescent="0.2">
      <c r="B41" s="5">
        <f>B40+1</f>
        <v>24</v>
      </c>
      <c r="C41" s="4" t="s">
        <v>69</v>
      </c>
      <c r="E41" s="141">
        <f>E38-E33</f>
        <v>-7.0999999999998842E-4</v>
      </c>
      <c r="F41" s="141">
        <f>F38-F33</f>
        <v>-7.0999999999998842E-4</v>
      </c>
      <c r="G41" s="141">
        <f t="shared" ref="G41:K41" si="14">G38-G33</f>
        <v>-7.0999999999998842E-4</v>
      </c>
      <c r="H41" s="141">
        <f t="shared" si="14"/>
        <v>-7.0999999999998842E-4</v>
      </c>
      <c r="I41" s="141">
        <f t="shared" si="14"/>
        <v>-7.0999999999998842E-4</v>
      </c>
      <c r="J41" s="141">
        <f t="shared" si="14"/>
        <v>-7.0999999999998842E-4</v>
      </c>
      <c r="K41" s="141">
        <f t="shared" si="14"/>
        <v>-7.0999999999998842E-4</v>
      </c>
      <c r="L41" s="21"/>
      <c r="M41" s="21"/>
      <c r="N41" s="21"/>
      <c r="O41" s="21"/>
    </row>
    <row r="42" spans="2:19" x14ac:dyDescent="0.2">
      <c r="B42" s="5">
        <f>B41+1</f>
        <v>25</v>
      </c>
      <c r="C42" s="4" t="s">
        <v>19</v>
      </c>
      <c r="E42" s="7">
        <f t="shared" ref="E42:K42" si="15">E41/E33</f>
        <v>-1.8266014921533018E-3</v>
      </c>
      <c r="F42" s="7">
        <f t="shared" si="15"/>
        <v>-1.8266014921533018E-3</v>
      </c>
      <c r="G42" s="7">
        <f t="shared" si="15"/>
        <v>-1.8266014921533018E-3</v>
      </c>
      <c r="H42" s="7">
        <f t="shared" si="15"/>
        <v>-1.8266014921533018E-3</v>
      </c>
      <c r="I42" s="7">
        <f t="shared" si="15"/>
        <v>-1.8266014921533018E-3</v>
      </c>
      <c r="J42" s="7">
        <f t="shared" si="15"/>
        <v>-1.8266014921533018E-3</v>
      </c>
      <c r="K42" s="7">
        <f t="shared" si="15"/>
        <v>-1.8266014921533018E-3</v>
      </c>
      <c r="L42" s="21"/>
      <c r="M42" s="21"/>
      <c r="N42" s="21"/>
      <c r="O42" s="21"/>
    </row>
    <row r="43" spans="2:19" x14ac:dyDescent="0.2">
      <c r="B43" s="13"/>
    </row>
    <row r="44" spans="2:19" ht="12.75" customHeight="1" x14ac:dyDescent="0.2">
      <c r="B44" s="13"/>
      <c r="C44" s="17" t="s">
        <v>22</v>
      </c>
      <c r="L44" s="21"/>
      <c r="M44" s="21"/>
      <c r="N44" s="21"/>
      <c r="O44" s="21"/>
      <c r="P44" s="142"/>
      <c r="Q44" s="142"/>
      <c r="R44" s="142"/>
      <c r="S44" s="142"/>
    </row>
    <row r="45" spans="2:19" ht="12.75" customHeight="1" x14ac:dyDescent="0.2">
      <c r="B45" s="13">
        <f>B42+1</f>
        <v>26</v>
      </c>
      <c r="C45" s="4" t="s">
        <v>70</v>
      </c>
      <c r="E45" s="138">
        <f t="shared" ref="E45:G45" si="16">E21</f>
        <v>0</v>
      </c>
      <c r="F45" s="138">
        <f t="shared" si="16"/>
        <v>0</v>
      </c>
      <c r="G45" s="138">
        <f t="shared" si="16"/>
        <v>0</v>
      </c>
      <c r="H45" s="138">
        <f>H21</f>
        <v>1</v>
      </c>
      <c r="I45" s="138">
        <f t="shared" ref="I45:K45" si="17">I21</f>
        <v>1</v>
      </c>
      <c r="J45" s="138">
        <f t="shared" si="17"/>
        <v>1</v>
      </c>
      <c r="K45" s="138">
        <f t="shared" si="17"/>
        <v>1</v>
      </c>
      <c r="L45" s="21"/>
      <c r="M45" s="21"/>
      <c r="N45" s="21"/>
      <c r="O45" s="21"/>
      <c r="P45" s="142"/>
      <c r="Q45" s="142"/>
      <c r="R45" s="142"/>
      <c r="S45" s="142"/>
    </row>
    <row r="46" spans="2:19" ht="12.75" customHeight="1" x14ac:dyDescent="0.2">
      <c r="B46" s="5">
        <f>B45+1</f>
        <v>27</v>
      </c>
      <c r="C46" s="4" t="s">
        <v>29</v>
      </c>
      <c r="D46" s="143">
        <f>'Conversion Factor'!E25-1</f>
        <v>4.9930494601257536E-2</v>
      </c>
      <c r="L46" s="21"/>
      <c r="M46" s="21"/>
      <c r="N46" s="21"/>
      <c r="O46" s="21"/>
      <c r="P46" s="142"/>
      <c r="Q46" s="142"/>
      <c r="R46" s="142"/>
      <c r="S46" s="142"/>
    </row>
    <row r="47" spans="2:19" ht="12.75" customHeight="1" x14ac:dyDescent="0.2">
      <c r="B47" s="5">
        <f>B46+1</f>
        <v>28</v>
      </c>
      <c r="C47" s="4" t="s">
        <v>71</v>
      </c>
      <c r="E47" s="138">
        <f>ROUND(E45*(1+$D$46),2)</f>
        <v>0</v>
      </c>
      <c r="F47" s="138">
        <f t="shared" ref="F47:K47" si="18">ROUND(F45*(1+$D$46),2)</f>
        <v>0</v>
      </c>
      <c r="G47" s="138">
        <f t="shared" si="18"/>
        <v>0</v>
      </c>
      <c r="H47" s="138">
        <f>ROUND(H45*(1+$D$46),2)</f>
        <v>1.05</v>
      </c>
      <c r="I47" s="138">
        <f t="shared" si="18"/>
        <v>1.05</v>
      </c>
      <c r="J47" s="138">
        <f t="shared" si="18"/>
        <v>1.05</v>
      </c>
      <c r="K47" s="138">
        <f t="shared" si="18"/>
        <v>1.05</v>
      </c>
      <c r="L47" s="21"/>
      <c r="M47" s="21"/>
      <c r="N47" s="21"/>
      <c r="O47" s="21"/>
      <c r="P47" s="142"/>
      <c r="Q47" s="142"/>
      <c r="R47" s="142"/>
      <c r="S47" s="142"/>
    </row>
    <row r="48" spans="2:19" ht="12.75" customHeight="1" x14ac:dyDescent="0.2">
      <c r="B48" s="13"/>
      <c r="C48" s="17"/>
      <c r="L48" s="21"/>
      <c r="M48" s="21"/>
      <c r="N48" s="21"/>
      <c r="O48" s="21"/>
      <c r="P48" s="142"/>
      <c r="Q48" s="142"/>
      <c r="R48" s="142"/>
      <c r="S48" s="142"/>
    </row>
    <row r="49" spans="2:19" x14ac:dyDescent="0.2">
      <c r="B49" s="5">
        <f>B47+1</f>
        <v>29</v>
      </c>
      <c r="C49" s="4" t="s">
        <v>72</v>
      </c>
      <c r="E49" s="141">
        <f>E25</f>
        <v>0.13902</v>
      </c>
      <c r="F49" s="141">
        <f t="shared" ref="F49:K49" si="19">F25</f>
        <v>0.13902</v>
      </c>
      <c r="G49" s="141">
        <f t="shared" si="19"/>
        <v>0.13289999999999999</v>
      </c>
      <c r="H49" s="141">
        <f t="shared" si="19"/>
        <v>3.4200000000000001E-2</v>
      </c>
      <c r="I49" s="141">
        <f t="shared" si="19"/>
        <v>7.6679999999999998E-2</v>
      </c>
      <c r="J49" s="141">
        <f t="shared" si="19"/>
        <v>8.5470000000000004E-2</v>
      </c>
      <c r="K49" s="141">
        <f t="shared" si="19"/>
        <v>7.9289999999999999E-2</v>
      </c>
      <c r="L49" s="21"/>
      <c r="M49" s="21"/>
      <c r="N49" s="21"/>
      <c r="O49" s="21"/>
      <c r="P49" s="142"/>
      <c r="Q49" s="142"/>
      <c r="R49" s="142"/>
      <c r="S49" s="142"/>
    </row>
    <row r="50" spans="2:19" x14ac:dyDescent="0.2">
      <c r="B50" s="5">
        <f t="shared" ref="B50:B57" si="20">B49+1</f>
        <v>30</v>
      </c>
      <c r="C50" s="4" t="s">
        <v>73</v>
      </c>
      <c r="E50" s="141">
        <f>E38</f>
        <v>0.38799</v>
      </c>
      <c r="F50" s="141">
        <f t="shared" ref="F50:K50" si="21">F38</f>
        <v>0.38799</v>
      </c>
      <c r="G50" s="141">
        <f t="shared" si="21"/>
        <v>0.38799</v>
      </c>
      <c r="H50" s="141">
        <f t="shared" si="21"/>
        <v>0.38799</v>
      </c>
      <c r="I50" s="141">
        <f t="shared" si="21"/>
        <v>0.38799</v>
      </c>
      <c r="J50" s="141">
        <f t="shared" si="21"/>
        <v>0.38799</v>
      </c>
      <c r="K50" s="141">
        <f t="shared" si="21"/>
        <v>0.38799</v>
      </c>
      <c r="L50" s="21"/>
      <c r="M50" s="21"/>
      <c r="N50" s="21"/>
      <c r="O50" s="21"/>
      <c r="P50" s="142"/>
      <c r="Q50" s="142"/>
      <c r="R50" s="142"/>
      <c r="S50" s="142"/>
    </row>
    <row r="51" spans="2:19" x14ac:dyDescent="0.2">
      <c r="B51" s="5">
        <f t="shared" si="20"/>
        <v>31</v>
      </c>
      <c r="C51" s="4" t="s">
        <v>25</v>
      </c>
      <c r="E51" s="15">
        <f>SUM(E49:E50)</f>
        <v>0.52700999999999998</v>
      </c>
      <c r="F51" s="15">
        <f t="shared" ref="F51:K51" si="22">SUM(F49:F50)</f>
        <v>0.52700999999999998</v>
      </c>
      <c r="G51" s="15">
        <f t="shared" si="22"/>
        <v>0.52088999999999996</v>
      </c>
      <c r="H51" s="15">
        <f t="shared" si="22"/>
        <v>0.42219000000000001</v>
      </c>
      <c r="I51" s="15">
        <f t="shared" si="22"/>
        <v>0.46467000000000003</v>
      </c>
      <c r="J51" s="15">
        <f t="shared" si="22"/>
        <v>0.47345999999999999</v>
      </c>
      <c r="K51" s="15">
        <f t="shared" si="22"/>
        <v>0.46728000000000003</v>
      </c>
      <c r="L51" s="21"/>
      <c r="M51" s="21"/>
      <c r="N51" s="21"/>
      <c r="O51" s="21"/>
      <c r="P51" s="142"/>
      <c r="Q51" s="142"/>
      <c r="R51" s="142"/>
      <c r="S51" s="142"/>
    </row>
    <row r="52" spans="2:19" x14ac:dyDescent="0.2">
      <c r="B52" s="5"/>
      <c r="E52" s="141"/>
      <c r="F52" s="141"/>
      <c r="G52" s="141"/>
      <c r="H52" s="141"/>
      <c r="I52" s="141"/>
      <c r="J52" s="141"/>
      <c r="K52" s="141"/>
      <c r="L52" s="21"/>
      <c r="M52" s="21"/>
      <c r="N52" s="21"/>
      <c r="O52" s="21"/>
      <c r="P52" s="142"/>
      <c r="Q52" s="142"/>
      <c r="R52" s="142"/>
      <c r="S52" s="142"/>
    </row>
    <row r="53" spans="2:19" x14ac:dyDescent="0.2">
      <c r="B53" s="5">
        <f>B51+1</f>
        <v>32</v>
      </c>
      <c r="C53" s="4" t="s">
        <v>74</v>
      </c>
      <c r="E53" s="150">
        <f>ROUND(E51*(1+$D$46),5)</f>
        <v>0.55332000000000003</v>
      </c>
      <c r="F53" s="150">
        <f t="shared" ref="F53:K53" si="23">ROUND(F51*(1+$D$46),5)</f>
        <v>0.55332000000000003</v>
      </c>
      <c r="G53" s="150">
        <f t="shared" si="23"/>
        <v>0.54690000000000005</v>
      </c>
      <c r="H53" s="150">
        <f t="shared" si="23"/>
        <v>0.44327</v>
      </c>
      <c r="I53" s="150">
        <f t="shared" si="23"/>
        <v>0.48787000000000003</v>
      </c>
      <c r="J53" s="150">
        <f t="shared" si="23"/>
        <v>0.49709999999999999</v>
      </c>
      <c r="K53" s="150">
        <f t="shared" si="23"/>
        <v>0.49060999999999999</v>
      </c>
      <c r="L53" s="21"/>
      <c r="M53" s="21"/>
      <c r="N53" s="21"/>
      <c r="O53" s="21"/>
      <c r="P53" s="142"/>
      <c r="Q53" s="142"/>
      <c r="R53" s="142"/>
      <c r="S53" s="142"/>
    </row>
    <row r="54" spans="2:19" x14ac:dyDescent="0.2">
      <c r="B54" s="5">
        <f t="shared" si="20"/>
        <v>33</v>
      </c>
      <c r="C54" s="4" t="s">
        <v>75</v>
      </c>
      <c r="E54" s="141"/>
      <c r="F54" s="144">
        <f>ROUND(F53*19,2)</f>
        <v>10.51</v>
      </c>
      <c r="G54" s="141"/>
      <c r="H54" s="141"/>
      <c r="I54" s="141"/>
      <c r="J54" s="141"/>
      <c r="K54" s="141"/>
      <c r="L54" s="21"/>
      <c r="M54" s="21"/>
      <c r="N54" s="21"/>
      <c r="O54" s="21"/>
      <c r="P54" s="142"/>
      <c r="Q54" s="142"/>
      <c r="R54" s="142"/>
      <c r="S54" s="142"/>
    </row>
    <row r="55" spans="2:19" x14ac:dyDescent="0.2">
      <c r="B55" s="5">
        <f t="shared" si="20"/>
        <v>34</v>
      </c>
      <c r="C55" s="4" t="s">
        <v>28</v>
      </c>
      <c r="D55" s="145"/>
      <c r="E55" s="158">
        <v>0.55610999999999999</v>
      </c>
      <c r="F55" s="158">
        <v>0.55610999999999999</v>
      </c>
      <c r="G55" s="158">
        <v>0.54957999999999996</v>
      </c>
      <c r="H55" s="158">
        <v>0.44874000000000003</v>
      </c>
      <c r="I55" s="158">
        <v>0.49014000000000002</v>
      </c>
      <c r="J55" s="158">
        <v>0.49845</v>
      </c>
      <c r="K55" s="158">
        <v>0.49234</v>
      </c>
      <c r="L55" s="21"/>
      <c r="M55" s="21"/>
      <c r="N55" s="21"/>
      <c r="O55" s="21"/>
      <c r="P55" s="142"/>
      <c r="Q55" s="142"/>
      <c r="R55" s="142"/>
      <c r="S55" s="142"/>
    </row>
    <row r="56" spans="2:19" x14ac:dyDescent="0.2">
      <c r="B56" s="5">
        <f t="shared" si="20"/>
        <v>35</v>
      </c>
      <c r="C56" s="4" t="s">
        <v>76</v>
      </c>
      <c r="E56" s="15">
        <f>E53-E55</f>
        <v>-2.7899999999999592E-3</v>
      </c>
      <c r="F56" s="15">
        <f t="shared" ref="F56:K56" si="24">F53-F55</f>
        <v>-2.7899999999999592E-3</v>
      </c>
      <c r="G56" s="15">
        <f t="shared" si="24"/>
        <v>-2.6799999999999047E-3</v>
      </c>
      <c r="H56" s="15">
        <f t="shared" si="24"/>
        <v>-5.4700000000000304E-3</v>
      </c>
      <c r="I56" s="15">
        <f t="shared" si="24"/>
        <v>-2.2699999999999942E-3</v>
      </c>
      <c r="J56" s="15">
        <f t="shared" si="24"/>
        <v>-1.3500000000000179E-3</v>
      </c>
      <c r="K56" s="15">
        <f t="shared" si="24"/>
        <v>-1.7300000000000093E-3</v>
      </c>
      <c r="L56" s="21"/>
      <c r="M56" s="21"/>
      <c r="N56" s="21"/>
      <c r="O56" s="21"/>
      <c r="P56" s="142"/>
      <c r="Q56" s="142"/>
      <c r="R56" s="142"/>
      <c r="S56" s="142"/>
    </row>
    <row r="57" spans="2:19" x14ac:dyDescent="0.2">
      <c r="B57" s="5">
        <f t="shared" si="20"/>
        <v>36</v>
      </c>
      <c r="C57" s="4" t="s">
        <v>19</v>
      </c>
      <c r="E57" s="7">
        <f>E56/E55</f>
        <v>-5.0169930409450633E-3</v>
      </c>
      <c r="F57" s="7">
        <f t="shared" ref="F57:K57" si="25">F56/F55</f>
        <v>-5.0169930409450633E-3</v>
      </c>
      <c r="G57" s="7">
        <f t="shared" si="25"/>
        <v>-4.8764511081187539E-3</v>
      </c>
      <c r="H57" s="7">
        <f t="shared" si="25"/>
        <v>-1.2189686678254735E-2</v>
      </c>
      <c r="I57" s="7">
        <f t="shared" si="25"/>
        <v>-4.6313298241318687E-3</v>
      </c>
      <c r="J57" s="7">
        <f t="shared" si="25"/>
        <v>-2.7083960276858619E-3</v>
      </c>
      <c r="K57" s="7">
        <f t="shared" si="25"/>
        <v>-3.5138319047812675E-3</v>
      </c>
      <c r="L57" s="21"/>
      <c r="M57" s="21"/>
      <c r="N57" s="21"/>
      <c r="O57" s="21"/>
      <c r="P57" s="142"/>
      <c r="Q57" s="142"/>
      <c r="R57" s="142"/>
      <c r="S57" s="142"/>
    </row>
    <row r="58" spans="2:19" x14ac:dyDescent="0.2">
      <c r="L58" s="146"/>
      <c r="M58" s="146"/>
      <c r="N58" s="146"/>
      <c r="P58" s="142"/>
    </row>
    <row r="59" spans="2:19" x14ac:dyDescent="0.2">
      <c r="C59" s="4" t="s">
        <v>188</v>
      </c>
      <c r="E59" s="141"/>
      <c r="L59" s="21"/>
      <c r="M59" s="21"/>
      <c r="N59" s="21"/>
      <c r="O59" s="21"/>
    </row>
    <row r="60" spans="2:19" x14ac:dyDescent="0.2">
      <c r="C60" s="4" t="s">
        <v>53</v>
      </c>
      <c r="E60" s="141"/>
      <c r="L60" s="21"/>
      <c r="M60" s="21"/>
      <c r="N60" s="21"/>
      <c r="O60" s="21"/>
    </row>
    <row r="61" spans="2:19" x14ac:dyDescent="0.2">
      <c r="E61" s="141"/>
      <c r="L61" s="21"/>
      <c r="M61" s="21"/>
      <c r="N61" s="21"/>
      <c r="O61" s="21"/>
    </row>
    <row r="62" spans="2:19" x14ac:dyDescent="0.2">
      <c r="C62" s="157"/>
      <c r="D62" s="157"/>
      <c r="E62" s="158"/>
      <c r="F62" s="157"/>
      <c r="G62" s="157"/>
      <c r="H62" s="157"/>
      <c r="I62" s="157"/>
      <c r="J62" s="157"/>
      <c r="K62" s="157"/>
      <c r="L62" s="159"/>
      <c r="M62" s="159"/>
      <c r="N62" s="159"/>
      <c r="O62" s="159"/>
      <c r="P62" s="157"/>
    </row>
    <row r="63" spans="2:19" x14ac:dyDescent="0.2">
      <c r="C63" s="157"/>
      <c r="D63" s="157"/>
      <c r="E63" s="160"/>
      <c r="F63" s="160"/>
      <c r="G63" s="160"/>
      <c r="H63" s="160"/>
      <c r="I63" s="160"/>
      <c r="J63" s="160"/>
      <c r="K63" s="160"/>
      <c r="L63" s="159"/>
      <c r="M63" s="165"/>
      <c r="N63" s="159"/>
      <c r="O63" s="159"/>
      <c r="P63" s="157"/>
    </row>
    <row r="64" spans="2:19" x14ac:dyDescent="0.2">
      <c r="C64" s="161"/>
      <c r="D64" s="157"/>
      <c r="E64" s="162"/>
      <c r="F64" s="162"/>
      <c r="G64" s="162"/>
      <c r="H64" s="162"/>
      <c r="I64" s="162"/>
      <c r="J64" s="162"/>
      <c r="K64" s="162"/>
      <c r="L64" s="159"/>
      <c r="M64" s="177"/>
      <c r="N64" s="159"/>
      <c r="O64" s="159"/>
      <c r="P64" s="157"/>
    </row>
    <row r="65" spans="3:16" x14ac:dyDescent="0.2">
      <c r="C65" s="157"/>
      <c r="D65" s="163"/>
      <c r="E65" s="158"/>
      <c r="F65" s="163"/>
      <c r="G65" s="163"/>
      <c r="H65" s="163"/>
      <c r="I65" s="163"/>
      <c r="J65" s="163"/>
      <c r="K65" s="163"/>
      <c r="L65" s="159"/>
      <c r="M65" s="165"/>
      <c r="N65" s="159"/>
      <c r="O65" s="159"/>
      <c r="P65" s="157"/>
    </row>
    <row r="66" spans="3:16" x14ac:dyDescent="0.2">
      <c r="C66" s="157"/>
      <c r="D66" s="164"/>
      <c r="E66" s="157"/>
      <c r="F66" s="157"/>
      <c r="G66" s="157"/>
      <c r="H66" s="157"/>
      <c r="I66" s="157"/>
      <c r="J66" s="157"/>
      <c r="K66" s="157"/>
      <c r="L66" s="159"/>
      <c r="M66" s="178"/>
      <c r="N66" s="159"/>
      <c r="O66" s="159"/>
      <c r="P66" s="157"/>
    </row>
    <row r="67" spans="3:16" x14ac:dyDescent="0.2">
      <c r="C67" s="157"/>
      <c r="D67" s="164"/>
      <c r="E67" s="157"/>
      <c r="F67" s="157"/>
      <c r="G67" s="157"/>
      <c r="H67" s="157"/>
      <c r="I67" s="157"/>
      <c r="J67" s="157"/>
      <c r="K67" s="157"/>
      <c r="L67" s="159"/>
      <c r="M67" s="165"/>
      <c r="N67" s="159"/>
      <c r="O67" s="159"/>
      <c r="P67" s="157"/>
    </row>
    <row r="68" spans="3:16" x14ac:dyDescent="0.2">
      <c r="C68" s="157"/>
      <c r="D68" s="157"/>
      <c r="E68" s="158"/>
      <c r="F68" s="158"/>
      <c r="G68" s="158"/>
      <c r="H68" s="158"/>
      <c r="I68" s="158"/>
      <c r="J68" s="158"/>
      <c r="K68" s="158"/>
      <c r="L68" s="159"/>
      <c r="M68" s="179"/>
      <c r="N68" s="159"/>
      <c r="O68" s="159"/>
      <c r="P68" s="157"/>
    </row>
    <row r="69" spans="3:16" x14ac:dyDescent="0.2">
      <c r="C69" s="157"/>
      <c r="D69" s="157"/>
      <c r="E69" s="160"/>
      <c r="F69" s="160"/>
      <c r="G69" s="160"/>
      <c r="H69" s="160"/>
      <c r="I69" s="160"/>
      <c r="J69" s="160"/>
      <c r="K69" s="160"/>
      <c r="L69" s="159"/>
      <c r="M69" s="165"/>
      <c r="N69" s="159"/>
      <c r="O69" s="159"/>
      <c r="P69" s="157"/>
    </row>
    <row r="70" spans="3:16" x14ac:dyDescent="0.2">
      <c r="C70" s="157"/>
      <c r="D70" s="157"/>
      <c r="E70" s="160"/>
      <c r="F70" s="160"/>
      <c r="G70" s="160"/>
      <c r="H70" s="160"/>
      <c r="I70" s="160"/>
      <c r="J70" s="160"/>
      <c r="K70" s="160"/>
      <c r="L70" s="159"/>
      <c r="M70" s="177"/>
      <c r="N70" s="159"/>
      <c r="O70" s="159"/>
      <c r="P70" s="157"/>
    </row>
    <row r="71" spans="3:16" x14ac:dyDescent="0.2">
      <c r="C71" s="157"/>
      <c r="D71" s="157"/>
      <c r="E71" s="157"/>
      <c r="F71" s="157"/>
      <c r="G71" s="157"/>
      <c r="H71" s="157"/>
      <c r="I71" s="157"/>
      <c r="J71" s="157"/>
      <c r="K71" s="157"/>
      <c r="L71" s="159"/>
      <c r="M71" s="165"/>
      <c r="N71" s="159"/>
      <c r="O71" s="159"/>
      <c r="P71" s="157"/>
    </row>
    <row r="72" spans="3:16" x14ac:dyDescent="0.2">
      <c r="C72" s="157"/>
      <c r="D72" s="157"/>
      <c r="E72" s="157"/>
      <c r="F72" s="157"/>
      <c r="G72" s="157"/>
      <c r="H72" s="157"/>
      <c r="I72" s="157"/>
      <c r="J72" s="157"/>
      <c r="K72" s="157"/>
      <c r="L72" s="159"/>
      <c r="M72" s="180"/>
      <c r="N72" s="159"/>
      <c r="O72" s="159"/>
      <c r="P72" s="157"/>
    </row>
    <row r="73" spans="3:16" x14ac:dyDescent="0.2"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81"/>
      <c r="N73" s="157"/>
      <c r="O73" s="157"/>
      <c r="P73" s="157"/>
    </row>
    <row r="74" spans="3:16" x14ac:dyDescent="0.2"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</row>
  </sheetData>
  <phoneticPr fontId="1" type="noConversion"/>
  <printOptions horizontalCentered="1"/>
  <pageMargins left="0.5" right="0.5" top="1" bottom="0.6" header="0.5" footer="0.3"/>
  <pageSetup scale="74" orientation="landscape" blackAndWhite="1" r:id="rId1"/>
  <headerFooter alignWithMargins="0">
    <oddFooter>&amp;L&amp;F
&amp;A&amp;RPage# &amp;P of &amp;N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"/>
  <sheetViews>
    <sheetView zoomScaleNormal="100" workbookViewId="0">
      <pane xSplit="3" topLeftCell="L1" activePane="topRight" state="frozen"/>
      <selection pane="topRight" activeCell="AE28" sqref="AE28"/>
    </sheetView>
  </sheetViews>
  <sheetFormatPr defaultRowHeight="11.25" x14ac:dyDescent="0.2"/>
  <cols>
    <col min="1" max="1" width="5.140625" style="184" bestFit="1" customWidth="1"/>
    <col min="2" max="2" width="37.5703125" style="184" customWidth="1"/>
    <col min="3" max="3" width="8.5703125" style="184" bestFit="1" customWidth="1"/>
    <col min="4" max="4" width="12" style="184" bestFit="1" customWidth="1"/>
    <col min="5" max="5" width="11.5703125" style="184" bestFit="1" customWidth="1"/>
    <col min="6" max="6" width="8.5703125" style="184" bestFit="1" customWidth="1"/>
    <col min="7" max="7" width="12" style="184" bestFit="1" customWidth="1"/>
    <col min="8" max="9" width="11.5703125" style="184" bestFit="1" customWidth="1"/>
    <col min="10" max="10" width="12.140625" style="184" bestFit="1" customWidth="1"/>
    <col min="11" max="15" width="10.7109375" style="184" bestFit="1" customWidth="1"/>
    <col min="16" max="16" width="10.42578125" style="184" bestFit="1" customWidth="1"/>
    <col min="17" max="17" width="10.7109375" style="184" bestFit="1" customWidth="1"/>
    <col min="18" max="18" width="10.42578125" style="184" bestFit="1" customWidth="1"/>
    <col min="19" max="19" width="10" style="184" bestFit="1" customWidth="1"/>
    <col min="20" max="21" width="10.7109375" style="184" bestFit="1" customWidth="1"/>
    <col min="22" max="22" width="12.85546875" style="184" bestFit="1" customWidth="1"/>
    <col min="23" max="23" width="10.42578125" style="184" bestFit="1" customWidth="1"/>
    <col min="24" max="24" width="7.140625" style="184" bestFit="1" customWidth="1"/>
    <col min="25" max="25" width="11.5703125" style="184" customWidth="1"/>
    <col min="26" max="26" width="7.140625" style="184" customWidth="1"/>
    <col min="27" max="27" width="11.5703125" style="184" customWidth="1"/>
    <col min="28" max="28" width="12.85546875" style="184" customWidth="1"/>
    <col min="29" max="29" width="6.42578125" style="184" customWidth="1"/>
    <col min="30" max="16384" width="9.140625" style="184"/>
  </cols>
  <sheetData>
    <row r="1" spans="1:29" x14ac:dyDescent="0.2">
      <c r="A1" s="476" t="s">
        <v>11</v>
      </c>
      <c r="B1" s="183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</row>
    <row r="2" spans="1:29" x14ac:dyDescent="0.2">
      <c r="A2" s="476" t="s">
        <v>293</v>
      </c>
      <c r="B2" s="183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</row>
    <row r="3" spans="1:29" x14ac:dyDescent="0.2">
      <c r="A3" s="477" t="s">
        <v>292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</row>
    <row r="4" spans="1:29" x14ac:dyDescent="0.2">
      <c r="A4" s="477" t="s">
        <v>199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</row>
    <row r="5" spans="1:29" x14ac:dyDescent="0.2">
      <c r="F5" s="185"/>
      <c r="P5" s="185"/>
      <c r="Q5" s="185"/>
      <c r="R5" s="185"/>
      <c r="S5" s="185"/>
      <c r="T5" s="185"/>
    </row>
    <row r="6" spans="1:29" x14ac:dyDescent="0.2">
      <c r="F6" s="185"/>
      <c r="G6" s="186" t="s">
        <v>291</v>
      </c>
      <c r="P6" s="185"/>
      <c r="Q6" s="185"/>
      <c r="R6" s="185"/>
      <c r="S6" s="185"/>
      <c r="T6" s="185"/>
      <c r="V6" s="187" t="s">
        <v>290</v>
      </c>
      <c r="W6" s="187" t="s">
        <v>280</v>
      </c>
      <c r="X6" s="186" t="str">
        <f>W6</f>
        <v>Sch. 101</v>
      </c>
      <c r="Y6" s="187" t="s">
        <v>279</v>
      </c>
      <c r="Z6" s="186" t="str">
        <f>Y6</f>
        <v>Sch. 106</v>
      </c>
      <c r="AA6" s="186" t="s">
        <v>10</v>
      </c>
      <c r="AB6" s="186" t="str">
        <f>V6</f>
        <v>12ME Oct. 2025</v>
      </c>
    </row>
    <row r="7" spans="1:29" x14ac:dyDescent="0.2">
      <c r="B7" s="186"/>
      <c r="C7" s="186"/>
      <c r="D7" s="186" t="s">
        <v>289</v>
      </c>
      <c r="E7" s="186" t="str">
        <f>D7</f>
        <v>UG-220067</v>
      </c>
      <c r="F7" s="186" t="s">
        <v>288</v>
      </c>
      <c r="G7" s="186" t="s">
        <v>287</v>
      </c>
      <c r="H7" s="185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 t="s">
        <v>285</v>
      </c>
      <c r="W7" s="185" t="s">
        <v>286</v>
      </c>
      <c r="X7" s="185" t="str">
        <f>W7</f>
        <v>PGA</v>
      </c>
      <c r="Y7" s="185" t="s">
        <v>286</v>
      </c>
      <c r="Z7" s="185" t="str">
        <f>Y7</f>
        <v>PGA</v>
      </c>
      <c r="AA7" s="185" t="s">
        <v>286</v>
      </c>
      <c r="AB7" s="186" t="s">
        <v>285</v>
      </c>
      <c r="AC7" s="186"/>
    </row>
    <row r="8" spans="1:29" x14ac:dyDescent="0.2">
      <c r="A8" s="184" t="s">
        <v>13</v>
      </c>
      <c r="B8" s="186"/>
      <c r="C8" s="186" t="s">
        <v>283</v>
      </c>
      <c r="D8" s="186" t="s">
        <v>284</v>
      </c>
      <c r="E8" s="186" t="s">
        <v>281</v>
      </c>
      <c r="F8" s="186" t="s">
        <v>283</v>
      </c>
      <c r="G8" s="187" t="s">
        <v>282</v>
      </c>
      <c r="H8" s="185" t="s">
        <v>281</v>
      </c>
      <c r="I8" s="186" t="s">
        <v>280</v>
      </c>
      <c r="J8" s="186" t="s">
        <v>279</v>
      </c>
      <c r="K8" s="186" t="s">
        <v>278</v>
      </c>
      <c r="L8" s="186" t="s">
        <v>277</v>
      </c>
      <c r="M8" s="186" t="s">
        <v>276</v>
      </c>
      <c r="N8" s="186" t="s">
        <v>275</v>
      </c>
      <c r="O8" s="186" t="s">
        <v>274</v>
      </c>
      <c r="P8" s="186" t="s">
        <v>273</v>
      </c>
      <c r="Q8" s="186" t="s">
        <v>272</v>
      </c>
      <c r="R8" s="186" t="s">
        <v>271</v>
      </c>
      <c r="S8" s="186" t="s">
        <v>270</v>
      </c>
      <c r="T8" s="186" t="s">
        <v>269</v>
      </c>
      <c r="U8" s="186" t="s">
        <v>268</v>
      </c>
      <c r="V8" s="186" t="s">
        <v>267</v>
      </c>
      <c r="W8" s="186" t="s">
        <v>261</v>
      </c>
      <c r="X8" s="186" t="s">
        <v>23</v>
      </c>
      <c r="Y8" s="186" t="s">
        <v>261</v>
      </c>
      <c r="Z8" s="186" t="s">
        <v>23</v>
      </c>
      <c r="AA8" s="186" t="s">
        <v>261</v>
      </c>
      <c r="AB8" s="186" t="s">
        <v>267</v>
      </c>
      <c r="AC8" s="186" t="s">
        <v>23</v>
      </c>
    </row>
    <row r="9" spans="1:29" x14ac:dyDescent="0.2">
      <c r="A9" s="184" t="s">
        <v>266</v>
      </c>
      <c r="B9" s="188" t="s">
        <v>265</v>
      </c>
      <c r="C9" s="188" t="s">
        <v>264</v>
      </c>
      <c r="D9" s="188" t="s">
        <v>354</v>
      </c>
      <c r="E9" s="188" t="s">
        <v>355</v>
      </c>
      <c r="F9" s="188" t="s">
        <v>263</v>
      </c>
      <c r="G9" s="189" t="s">
        <v>262</v>
      </c>
      <c r="H9" s="188" t="s">
        <v>261</v>
      </c>
      <c r="I9" s="188" t="s">
        <v>261</v>
      </c>
      <c r="J9" s="188" t="s">
        <v>261</v>
      </c>
      <c r="K9" s="188" t="s">
        <v>261</v>
      </c>
      <c r="L9" s="188" t="s">
        <v>261</v>
      </c>
      <c r="M9" s="188" t="s">
        <v>261</v>
      </c>
      <c r="N9" s="188" t="s">
        <v>261</v>
      </c>
      <c r="O9" s="188" t="s">
        <v>261</v>
      </c>
      <c r="P9" s="188" t="s">
        <v>261</v>
      </c>
      <c r="Q9" s="188" t="s">
        <v>261</v>
      </c>
      <c r="R9" s="188" t="s">
        <v>261</v>
      </c>
      <c r="S9" s="188" t="s">
        <v>261</v>
      </c>
      <c r="T9" s="188" t="s">
        <v>261</v>
      </c>
      <c r="U9" s="188" t="s">
        <v>261</v>
      </c>
      <c r="V9" s="188" t="s">
        <v>356</v>
      </c>
      <c r="W9" s="188" t="s">
        <v>259</v>
      </c>
      <c r="X9" s="188" t="s">
        <v>259</v>
      </c>
      <c r="Y9" s="188" t="s">
        <v>259</v>
      </c>
      <c r="Z9" s="188" t="s">
        <v>259</v>
      </c>
      <c r="AA9" s="188" t="s">
        <v>259</v>
      </c>
      <c r="AB9" s="188" t="s">
        <v>260</v>
      </c>
      <c r="AC9" s="188" t="s">
        <v>259</v>
      </c>
    </row>
    <row r="10" spans="1:29" x14ac:dyDescent="0.2">
      <c r="B10" s="186" t="s">
        <v>32</v>
      </c>
      <c r="C10" s="186" t="s">
        <v>33</v>
      </c>
      <c r="D10" s="190" t="s">
        <v>34</v>
      </c>
      <c r="E10" s="191" t="s">
        <v>60</v>
      </c>
      <c r="F10" s="186" t="s">
        <v>258</v>
      </c>
      <c r="G10" s="186" t="s">
        <v>257</v>
      </c>
      <c r="H10" s="186" t="s">
        <v>256</v>
      </c>
      <c r="I10" s="186" t="s">
        <v>35</v>
      </c>
      <c r="J10" s="186" t="s">
        <v>61</v>
      </c>
      <c r="K10" s="186" t="s">
        <v>62</v>
      </c>
      <c r="L10" s="186" t="s">
        <v>255</v>
      </c>
      <c r="M10" s="191" t="s">
        <v>254</v>
      </c>
      <c r="N10" s="191" t="s">
        <v>253</v>
      </c>
      <c r="O10" s="191" t="s">
        <v>252</v>
      </c>
      <c r="P10" s="191" t="s">
        <v>251</v>
      </c>
      <c r="Q10" s="191" t="s">
        <v>250</v>
      </c>
      <c r="R10" s="191" t="s">
        <v>249</v>
      </c>
      <c r="S10" s="191" t="s">
        <v>248</v>
      </c>
      <c r="T10" s="191" t="s">
        <v>247</v>
      </c>
      <c r="U10" s="191" t="s">
        <v>246</v>
      </c>
      <c r="V10" s="191" t="s">
        <v>245</v>
      </c>
      <c r="W10" s="186" t="s">
        <v>244</v>
      </c>
      <c r="X10" s="186" t="s">
        <v>243</v>
      </c>
      <c r="Y10" s="186" t="s">
        <v>242</v>
      </c>
      <c r="Z10" s="186" t="s">
        <v>241</v>
      </c>
      <c r="AA10" s="186" t="s">
        <v>240</v>
      </c>
      <c r="AB10" s="186" t="s">
        <v>239</v>
      </c>
      <c r="AC10" s="186" t="s">
        <v>238</v>
      </c>
    </row>
    <row r="11" spans="1:29" x14ac:dyDescent="0.2">
      <c r="A11" s="185">
        <v>1</v>
      </c>
      <c r="B11" s="184" t="s">
        <v>14</v>
      </c>
      <c r="C11" s="185" t="s">
        <v>237</v>
      </c>
      <c r="D11" s="481">
        <v>620836684.05687141</v>
      </c>
      <c r="E11" s="197">
        <v>403613457.09474093</v>
      </c>
      <c r="F11" s="193">
        <f t="shared" ref="F11:F25" si="0">(E11)/D11</f>
        <v>0.6501121268436002</v>
      </c>
      <c r="G11" s="481">
        <v>563377415</v>
      </c>
      <c r="H11" s="194">
        <f t="shared" ref="H11:H24" si="1">F11*G11</f>
        <v>366258489.48129958</v>
      </c>
      <c r="I11" s="192">
        <f>'Sch. 101'!G10</f>
        <v>313299814.25999999</v>
      </c>
      <c r="J11" s="197">
        <v>-113650125.93000001</v>
      </c>
      <c r="K11" s="197">
        <v>36109134.87256062</v>
      </c>
      <c r="L11" s="197">
        <v>20597078.292400002</v>
      </c>
      <c r="M11" s="197">
        <v>48050459.72535</v>
      </c>
      <c r="N11" s="197">
        <v>8991503.5433999989</v>
      </c>
      <c r="O11" s="197">
        <v>9436571.7012499981</v>
      </c>
      <c r="P11" s="197">
        <v>-1239430.3129999998</v>
      </c>
      <c r="Q11" s="197">
        <v>26332260.377099998</v>
      </c>
      <c r="R11" s="197">
        <v>-2022524.9198499997</v>
      </c>
      <c r="S11" s="197">
        <v>50703.967350000006</v>
      </c>
      <c r="T11" s="197">
        <v>40101204.399699993</v>
      </c>
      <c r="U11" s="197">
        <v>24180158.649999999</v>
      </c>
      <c r="V11" s="195">
        <f t="shared" ref="V11:V24" si="2">SUM(H11:U11)</f>
        <v>776495298.10756028</v>
      </c>
      <c r="W11" s="192">
        <f>'Sch. 101'!I10</f>
        <v>-1571822.9900000095</v>
      </c>
      <c r="X11" s="196">
        <f t="shared" ref="X11:X17" si="3">W11/V11</f>
        <v>-2.0242530686673654E-3</v>
      </c>
      <c r="Y11" s="197">
        <v>80506632.610000014</v>
      </c>
      <c r="Z11" s="196">
        <f t="shared" ref="Z11:Z17" si="4">Y11/V11</f>
        <v>0.1036794849965057</v>
      </c>
      <c r="AA11" s="194">
        <f t="shared" ref="AA11:AA17" si="5">W11+Y11</f>
        <v>78934809.620000005</v>
      </c>
      <c r="AB11" s="194">
        <f t="shared" ref="AB11:AB24" si="6">V11+AA11</f>
        <v>855430107.72756028</v>
      </c>
      <c r="AC11" s="196">
        <f t="shared" ref="AC11:AC17" si="7">AA11/V11</f>
        <v>0.10165523192783833</v>
      </c>
    </row>
    <row r="12" spans="1:29" x14ac:dyDescent="0.2">
      <c r="A12" s="185">
        <f t="shared" ref="A12:A25" si="8">A11+1</f>
        <v>2</v>
      </c>
      <c r="B12" s="184" t="s">
        <v>236</v>
      </c>
      <c r="C12" s="185">
        <v>16</v>
      </c>
      <c r="D12" s="481">
        <v>8190.2669999999998</v>
      </c>
      <c r="E12" s="197">
        <v>5233.1499999999996</v>
      </c>
      <c r="F12" s="193">
        <f t="shared" si="0"/>
        <v>0.63894742381414427</v>
      </c>
      <c r="G12" s="481">
        <v>6156</v>
      </c>
      <c r="H12" s="194">
        <f t="shared" si="1"/>
        <v>3933.3603409998723</v>
      </c>
      <c r="I12" s="192">
        <f>'Sch. 101'!G13</f>
        <v>3423.41</v>
      </c>
      <c r="J12" s="197">
        <v>-1241.8499999999999</v>
      </c>
      <c r="K12" s="197">
        <v>739.38882947368415</v>
      </c>
      <c r="L12" s="197">
        <v>225.06336000000002</v>
      </c>
      <c r="M12" s="197"/>
      <c r="N12" s="197"/>
      <c r="O12" s="197">
        <v>103.11299999999999</v>
      </c>
      <c r="P12" s="197">
        <v>-13.543199999999999</v>
      </c>
      <c r="Q12" s="197">
        <v>287.73143999999996</v>
      </c>
      <c r="R12" s="197">
        <v>-22.100039999999996</v>
      </c>
      <c r="S12" s="197">
        <v>0.55404000000000009</v>
      </c>
      <c r="T12" s="197">
        <v>438.18407999999994</v>
      </c>
      <c r="U12" s="197"/>
      <c r="V12" s="195">
        <f t="shared" si="2"/>
        <v>7873.3118504735558</v>
      </c>
      <c r="W12" s="192">
        <f>'Sch. 101'!I13</f>
        <v>-17.170000000000073</v>
      </c>
      <c r="X12" s="196">
        <f t="shared" si="3"/>
        <v>-2.1807849512486097E-3</v>
      </c>
      <c r="Y12" s="197">
        <v>879.68999999999983</v>
      </c>
      <c r="Z12" s="196">
        <f t="shared" si="4"/>
        <v>0.11173061815747704</v>
      </c>
      <c r="AA12" s="194">
        <f t="shared" si="5"/>
        <v>862.51999999999975</v>
      </c>
      <c r="AB12" s="194">
        <f t="shared" si="6"/>
        <v>8735.8318504735562</v>
      </c>
      <c r="AC12" s="196">
        <f t="shared" si="7"/>
        <v>0.10954983320622844</v>
      </c>
    </row>
    <row r="13" spans="1:29" x14ac:dyDescent="0.2">
      <c r="A13" s="185">
        <f t="shared" si="8"/>
        <v>3</v>
      </c>
      <c r="B13" s="184" t="s">
        <v>235</v>
      </c>
      <c r="C13" s="185">
        <v>31</v>
      </c>
      <c r="D13" s="481">
        <v>222166912.14539161</v>
      </c>
      <c r="E13" s="197">
        <v>122121000.06</v>
      </c>
      <c r="F13" s="193">
        <f t="shared" si="0"/>
        <v>0.54968131339054194</v>
      </c>
      <c r="G13" s="481">
        <v>230116288</v>
      </c>
      <c r="H13" s="194">
        <f t="shared" si="1"/>
        <v>126490623.42039621</v>
      </c>
      <c r="I13" s="192">
        <f>'Sch. 101'!G16</f>
        <v>126467309.56</v>
      </c>
      <c r="J13" s="197">
        <v>-46069280.859999999</v>
      </c>
      <c r="K13" s="197">
        <v>23819948.612333745</v>
      </c>
      <c r="L13" s="197">
        <v>8413051.4892800003</v>
      </c>
      <c r="M13" s="197">
        <v>12918728.40832</v>
      </c>
      <c r="N13" s="197">
        <v>3152593.1455999999</v>
      </c>
      <c r="O13" s="197">
        <v>4116780.3923200001</v>
      </c>
      <c r="P13" s="197">
        <v>-464834.90176000004</v>
      </c>
      <c r="Q13" s="197">
        <v>9131014.3078400008</v>
      </c>
      <c r="R13" s="197">
        <v>-759383.75040000002</v>
      </c>
      <c r="S13" s="197">
        <v>13806.977280000001</v>
      </c>
      <c r="T13" s="197">
        <v>15024292.44352</v>
      </c>
      <c r="U13" s="197">
        <v>1024017.48</v>
      </c>
      <c r="V13" s="195">
        <f t="shared" si="2"/>
        <v>283278666.72472996</v>
      </c>
      <c r="W13" s="192">
        <f>'Sch. 101'!I16</f>
        <v>-616711.65000000596</v>
      </c>
      <c r="X13" s="196">
        <f t="shared" si="3"/>
        <v>-2.1770493949665559E-3</v>
      </c>
      <c r="Y13" s="197">
        <v>32533840.799999997</v>
      </c>
      <c r="Z13" s="196">
        <f t="shared" si="4"/>
        <v>0.11484747925481473</v>
      </c>
      <c r="AA13" s="194">
        <f t="shared" si="5"/>
        <v>31917129.149999991</v>
      </c>
      <c r="AB13" s="194">
        <f t="shared" si="6"/>
        <v>315195795.87472993</v>
      </c>
      <c r="AC13" s="196">
        <f t="shared" si="7"/>
        <v>0.11267042985984817</v>
      </c>
    </row>
    <row r="14" spans="1:29" x14ac:dyDescent="0.2">
      <c r="A14" s="185">
        <f t="shared" si="8"/>
        <v>4</v>
      </c>
      <c r="B14" s="184" t="s">
        <v>234</v>
      </c>
      <c r="C14" s="185">
        <v>41</v>
      </c>
      <c r="D14" s="481">
        <v>62517991.156948164</v>
      </c>
      <c r="E14" s="197">
        <v>17786398.291046247</v>
      </c>
      <c r="F14" s="193">
        <f t="shared" si="0"/>
        <v>0.28450047677306872</v>
      </c>
      <c r="G14" s="481">
        <v>63059025</v>
      </c>
      <c r="H14" s="194">
        <f t="shared" si="1"/>
        <v>17940322.677344859</v>
      </c>
      <c r="I14" s="192">
        <f>'Sch. 101'!G21</f>
        <v>33768581.280000001</v>
      </c>
      <c r="J14" s="197">
        <v>-12373441.890000001</v>
      </c>
      <c r="K14" s="197">
        <v>6476945.1889428794</v>
      </c>
      <c r="L14" s="197">
        <v>2305437.9539999999</v>
      </c>
      <c r="M14" s="197">
        <v>1352616.0862499999</v>
      </c>
      <c r="N14" s="197">
        <v>423756.64800000004</v>
      </c>
      <c r="O14" s="197">
        <v>463483.83375000005</v>
      </c>
      <c r="P14" s="197">
        <v>-97110.89850000001</v>
      </c>
      <c r="Q14" s="197">
        <v>1748852.0280493097</v>
      </c>
      <c r="R14" s="197">
        <v>-79454.371499999994</v>
      </c>
      <c r="S14" s="197">
        <v>4414.1317499999996</v>
      </c>
      <c r="T14" s="197">
        <v>1968072.1702500002</v>
      </c>
      <c r="U14" s="197">
        <v>-710738</v>
      </c>
      <c r="V14" s="195">
        <f t="shared" si="2"/>
        <v>53191736.838337049</v>
      </c>
      <c r="W14" s="192">
        <f>'Sch. 101'!I21</f>
        <v>-344932.86999999732</v>
      </c>
      <c r="X14" s="196">
        <f t="shared" si="3"/>
        <v>-6.4847077855031193E-3</v>
      </c>
      <c r="Y14" s="197">
        <v>8666832.4000000004</v>
      </c>
      <c r="Z14" s="196">
        <f t="shared" si="4"/>
        <v>0.16293569105180125</v>
      </c>
      <c r="AA14" s="194">
        <f t="shared" si="5"/>
        <v>8321899.5300000031</v>
      </c>
      <c r="AB14" s="194">
        <f t="shared" si="6"/>
        <v>61513636.36833705</v>
      </c>
      <c r="AC14" s="196">
        <f t="shared" si="7"/>
        <v>0.15645098326629811</v>
      </c>
    </row>
    <row r="15" spans="1:29" x14ac:dyDescent="0.2">
      <c r="A15" s="185">
        <f t="shared" si="8"/>
        <v>5</v>
      </c>
      <c r="B15" s="184" t="s">
        <v>38</v>
      </c>
      <c r="C15" s="185">
        <v>85</v>
      </c>
      <c r="D15" s="481">
        <v>19992939.502740219</v>
      </c>
      <c r="E15" s="197">
        <v>2272313.06</v>
      </c>
      <c r="F15" s="193">
        <f t="shared" si="0"/>
        <v>0.11365577631486147</v>
      </c>
      <c r="G15" s="481">
        <v>17533752</v>
      </c>
      <c r="H15" s="194">
        <f t="shared" si="1"/>
        <v>1992812.195272255</v>
      </c>
      <c r="I15" s="192">
        <f>'Sch. 101'!G26</f>
        <v>8742484.2100000009</v>
      </c>
      <c r="J15" s="197">
        <v>-3301079.49</v>
      </c>
      <c r="K15" s="197">
        <v>1498708.4434751938</v>
      </c>
      <c r="L15" s="197">
        <v>577386.45336000004</v>
      </c>
      <c r="M15" s="197">
        <v>145804.04520368445</v>
      </c>
      <c r="N15" s="197">
        <v>56662.907848646326</v>
      </c>
      <c r="O15" s="197">
        <v>67680.282720000017</v>
      </c>
      <c r="P15" s="197">
        <v>-22618.540079999999</v>
      </c>
      <c r="Q15" s="197">
        <v>859054.12831497844</v>
      </c>
      <c r="R15" s="197">
        <v>-9994.2386400000014</v>
      </c>
      <c r="S15" s="197">
        <v>1402.7001600000001</v>
      </c>
      <c r="T15" s="197">
        <v>332965.95048</v>
      </c>
      <c r="U15" s="197"/>
      <c r="V15" s="195">
        <f t="shared" si="2"/>
        <v>10941269.048114762</v>
      </c>
      <c r="W15" s="192">
        <f>'Sch. 101'!I26</f>
        <v>-39801.620000001043</v>
      </c>
      <c r="X15" s="196">
        <f t="shared" si="3"/>
        <v>-3.6377516926941003E-3</v>
      </c>
      <c r="Y15" s="197">
        <v>2272023.5900000003</v>
      </c>
      <c r="Z15" s="196">
        <f t="shared" si="4"/>
        <v>0.2076563129933709</v>
      </c>
      <c r="AA15" s="194">
        <f t="shared" si="5"/>
        <v>2232221.9699999993</v>
      </c>
      <c r="AB15" s="194">
        <f t="shared" si="6"/>
        <v>13173491.018114761</v>
      </c>
      <c r="AC15" s="196">
        <f t="shared" si="7"/>
        <v>0.2040185613006768</v>
      </c>
    </row>
    <row r="16" spans="1:29" x14ac:dyDescent="0.2">
      <c r="A16" s="185">
        <f t="shared" si="8"/>
        <v>6</v>
      </c>
      <c r="B16" s="184" t="s">
        <v>233</v>
      </c>
      <c r="C16" s="185">
        <v>86</v>
      </c>
      <c r="D16" s="481">
        <v>5773170.4876905456</v>
      </c>
      <c r="E16" s="197">
        <v>1192875.52</v>
      </c>
      <c r="F16" s="193">
        <f t="shared" si="0"/>
        <v>0.20662398980654192</v>
      </c>
      <c r="G16" s="481">
        <v>5007638</v>
      </c>
      <c r="H16" s="194">
        <f t="shared" si="1"/>
        <v>1034698.143066852</v>
      </c>
      <c r="I16" s="192">
        <f>'Sch. 101'!G31</f>
        <v>2529535.3600000003</v>
      </c>
      <c r="J16" s="197">
        <v>-951551.37</v>
      </c>
      <c r="K16" s="197">
        <v>513741.83528</v>
      </c>
      <c r="L16" s="197">
        <v>164901.51934</v>
      </c>
      <c r="M16" s="197">
        <v>86231.526359999989</v>
      </c>
      <c r="N16" s="197">
        <v>24938.037240000001</v>
      </c>
      <c r="O16" s="197">
        <v>25589.030180000002</v>
      </c>
      <c r="P16" s="197">
        <v>-1752.6733000000002</v>
      </c>
      <c r="Q16" s="197">
        <v>208300.94617265993</v>
      </c>
      <c r="R16" s="197">
        <v>-4356.6450599999998</v>
      </c>
      <c r="S16" s="197">
        <v>300.45828</v>
      </c>
      <c r="T16" s="197">
        <v>78720.069359999994</v>
      </c>
      <c r="U16" s="197">
        <v>-41363.79</v>
      </c>
      <c r="V16" s="195">
        <f t="shared" si="2"/>
        <v>3667932.4469195115</v>
      </c>
      <c r="W16" s="192">
        <f>'Sch. 101'!I31</f>
        <v>-6760.3100000000559</v>
      </c>
      <c r="X16" s="196">
        <f t="shared" si="3"/>
        <v>-1.8430846526842819E-3</v>
      </c>
      <c r="Y16" s="197">
        <v>657552.93999999994</v>
      </c>
      <c r="Z16" s="196">
        <f t="shared" si="4"/>
        <v>0.17927073344882383</v>
      </c>
      <c r="AA16" s="194">
        <f t="shared" si="5"/>
        <v>650792.62999999989</v>
      </c>
      <c r="AB16" s="194">
        <f t="shared" si="6"/>
        <v>4318725.076919511</v>
      </c>
      <c r="AC16" s="196">
        <f t="shared" si="7"/>
        <v>0.17742764879613956</v>
      </c>
    </row>
    <row r="17" spans="1:29" x14ac:dyDescent="0.2">
      <c r="A17" s="185">
        <f t="shared" si="8"/>
        <v>7</v>
      </c>
      <c r="B17" s="184" t="s">
        <v>232</v>
      </c>
      <c r="C17" s="185">
        <v>87</v>
      </c>
      <c r="D17" s="481">
        <v>21819455.762355208</v>
      </c>
      <c r="E17" s="197">
        <v>1509849.77</v>
      </c>
      <c r="F17" s="193">
        <f t="shared" si="0"/>
        <v>6.9197407416775353E-2</v>
      </c>
      <c r="G17" s="481">
        <v>18486702</v>
      </c>
      <c r="H17" s="194">
        <f t="shared" si="1"/>
        <v>1279231.8500865158</v>
      </c>
      <c r="I17" s="192">
        <f>'Sch. 101'!G36</f>
        <v>9101742.8599999994</v>
      </c>
      <c r="J17" s="197">
        <v>-3455349.47</v>
      </c>
      <c r="K17" s="197">
        <v>162465.6001044687</v>
      </c>
      <c r="L17" s="197">
        <v>608767.09686000005</v>
      </c>
      <c r="M17" s="197">
        <v>62092.416057259594</v>
      </c>
      <c r="N17" s="197">
        <v>24552.185638958021</v>
      </c>
      <c r="O17" s="197">
        <v>39191.808239999998</v>
      </c>
      <c r="P17" s="197">
        <v>-9966.5879270577498</v>
      </c>
      <c r="Q17" s="197">
        <v>347874.32591537002</v>
      </c>
      <c r="R17" s="197">
        <v>-5432.8335795336516</v>
      </c>
      <c r="S17" s="197">
        <v>1663.8031800000001</v>
      </c>
      <c r="T17" s="197">
        <v>161260.63391047149</v>
      </c>
      <c r="U17" s="197"/>
      <c r="V17" s="195">
        <f t="shared" si="2"/>
        <v>8318093.6884864513</v>
      </c>
      <c r="W17" s="192">
        <f>'Sch. 101'!I36</f>
        <v>-31981.990000000224</v>
      </c>
      <c r="X17" s="196">
        <f t="shared" si="3"/>
        <v>-3.8448701346401426E-3</v>
      </c>
      <c r="Y17" s="197">
        <v>2370549.8000000003</v>
      </c>
      <c r="Z17" s="196">
        <f t="shared" si="4"/>
        <v>0.2849871483512158</v>
      </c>
      <c r="AA17" s="194">
        <f t="shared" si="5"/>
        <v>2338567.81</v>
      </c>
      <c r="AB17" s="194">
        <f t="shared" si="6"/>
        <v>10656661.498486452</v>
      </c>
      <c r="AC17" s="196">
        <f t="shared" si="7"/>
        <v>0.28114227821657567</v>
      </c>
    </row>
    <row r="18" spans="1:29" x14ac:dyDescent="0.2">
      <c r="A18" s="185">
        <f t="shared" si="8"/>
        <v>8</v>
      </c>
      <c r="B18" s="184" t="s">
        <v>231</v>
      </c>
      <c r="C18" s="185" t="s">
        <v>230</v>
      </c>
      <c r="D18" s="481">
        <v>36958.529999999992</v>
      </c>
      <c r="E18" s="197">
        <v>23981.98</v>
      </c>
      <c r="F18" s="193">
        <f t="shared" si="0"/>
        <v>0.64888890331947735</v>
      </c>
      <c r="G18" s="481">
        <v>0</v>
      </c>
      <c r="H18" s="194">
        <f t="shared" si="1"/>
        <v>0</v>
      </c>
      <c r="I18" s="197"/>
      <c r="J18" s="197"/>
      <c r="K18" s="197">
        <v>0</v>
      </c>
      <c r="L18" s="197"/>
      <c r="M18" s="197">
        <v>0</v>
      </c>
      <c r="N18" s="197">
        <v>0</v>
      </c>
      <c r="O18" s="197">
        <v>0</v>
      </c>
      <c r="P18" s="197"/>
      <c r="Q18" s="197"/>
      <c r="R18" s="197">
        <v>0</v>
      </c>
      <c r="S18" s="197">
        <v>0</v>
      </c>
      <c r="T18" s="197">
        <v>0</v>
      </c>
      <c r="U18" s="197">
        <v>0</v>
      </c>
      <c r="V18" s="195">
        <f t="shared" si="2"/>
        <v>0</v>
      </c>
      <c r="W18" s="192"/>
      <c r="X18" s="196">
        <f>IF(W18=0,0,W18/V18)</f>
        <v>0</v>
      </c>
      <c r="Y18" s="192"/>
      <c r="Z18" s="196">
        <f>IF(Y18=0,0,Y18/V18)</f>
        <v>0</v>
      </c>
      <c r="AA18" s="194"/>
      <c r="AB18" s="194">
        <f t="shared" si="6"/>
        <v>0</v>
      </c>
      <c r="AC18" s="196">
        <f>IF(AA18=0,0,AA18/V18)</f>
        <v>0</v>
      </c>
    </row>
    <row r="19" spans="1:29" x14ac:dyDescent="0.2">
      <c r="A19" s="185">
        <f t="shared" si="8"/>
        <v>9</v>
      </c>
      <c r="B19" s="184" t="s">
        <v>229</v>
      </c>
      <c r="C19" s="185" t="s">
        <v>228</v>
      </c>
      <c r="D19" s="481">
        <v>19494505.608019032</v>
      </c>
      <c r="E19" s="197">
        <v>4475398.7622919884</v>
      </c>
      <c r="F19" s="193">
        <f t="shared" si="0"/>
        <v>0.22957231397810063</v>
      </c>
      <c r="G19" s="481">
        <v>21124071</v>
      </c>
      <c r="H19" s="194">
        <f t="shared" si="1"/>
        <v>4849501.8601076901</v>
      </c>
      <c r="I19" s="197"/>
      <c r="J19" s="197"/>
      <c r="K19" s="197">
        <v>2283191.3100999994</v>
      </c>
      <c r="L19" s="197"/>
      <c r="M19" s="197">
        <v>453111.32295</v>
      </c>
      <c r="N19" s="197">
        <v>141953.75711999999</v>
      </c>
      <c r="O19" s="197">
        <v>155261.92185000001</v>
      </c>
      <c r="P19" s="197"/>
      <c r="Q19" s="197"/>
      <c r="R19" s="197">
        <v>-44360.549099999997</v>
      </c>
      <c r="S19" s="197">
        <v>1478.6849699999998</v>
      </c>
      <c r="T19" s="197">
        <v>659282.25591000007</v>
      </c>
      <c r="U19" s="197">
        <v>-209320.5</v>
      </c>
      <c r="V19" s="195">
        <f t="shared" si="2"/>
        <v>8290100.0639076885</v>
      </c>
      <c r="W19" s="192"/>
      <c r="X19" s="196">
        <f t="shared" ref="X19:X25" si="9">W19/V19</f>
        <v>0</v>
      </c>
      <c r="Y19" s="192"/>
      <c r="Z19" s="196">
        <f t="shared" ref="Z19:Z25" si="10">Y19/V19</f>
        <v>0</v>
      </c>
      <c r="AA19" s="194"/>
      <c r="AB19" s="194">
        <f t="shared" si="6"/>
        <v>8290100.0639076885</v>
      </c>
      <c r="AC19" s="196">
        <f t="shared" ref="AC19:AC25" si="11">AA19/V19</f>
        <v>0</v>
      </c>
    </row>
    <row r="20" spans="1:29" x14ac:dyDescent="0.2">
      <c r="A20" s="185">
        <f t="shared" si="8"/>
        <v>10</v>
      </c>
      <c r="B20" s="184" t="s">
        <v>227</v>
      </c>
      <c r="C20" s="185" t="s">
        <v>226</v>
      </c>
      <c r="D20" s="481">
        <v>68886791.019958794</v>
      </c>
      <c r="E20" s="197">
        <v>7339677.3100000005</v>
      </c>
      <c r="F20" s="193">
        <f t="shared" si="0"/>
        <v>0.1065469475544804</v>
      </c>
      <c r="G20" s="481">
        <v>55422592</v>
      </c>
      <c r="H20" s="194">
        <f t="shared" si="1"/>
        <v>5905108.0031573651</v>
      </c>
      <c r="I20" s="197"/>
      <c r="J20" s="197"/>
      <c r="K20" s="197">
        <v>6243031.3552862257</v>
      </c>
      <c r="L20" s="197"/>
      <c r="M20" s="197">
        <v>440562.49333330238</v>
      </c>
      <c r="N20" s="197">
        <v>171006.74699977087</v>
      </c>
      <c r="O20" s="197">
        <v>213931.20512000003</v>
      </c>
      <c r="P20" s="197"/>
      <c r="Q20" s="197"/>
      <c r="R20" s="197">
        <v>-70940.917760000011</v>
      </c>
      <c r="S20" s="197">
        <v>4433.8073600000007</v>
      </c>
      <c r="T20" s="197">
        <v>1052475.02208</v>
      </c>
      <c r="U20" s="197"/>
      <c r="V20" s="195">
        <f t="shared" si="2"/>
        <v>13959607.715576665</v>
      </c>
      <c r="W20" s="192"/>
      <c r="X20" s="196">
        <f t="shared" si="9"/>
        <v>0</v>
      </c>
      <c r="Y20" s="192"/>
      <c r="Z20" s="196">
        <f t="shared" si="10"/>
        <v>0</v>
      </c>
      <c r="AA20" s="194"/>
      <c r="AB20" s="194">
        <f t="shared" si="6"/>
        <v>13959607.715576665</v>
      </c>
      <c r="AC20" s="196">
        <f t="shared" si="11"/>
        <v>0</v>
      </c>
    </row>
    <row r="21" spans="1:29" x14ac:dyDescent="0.2">
      <c r="A21" s="185">
        <f t="shared" si="8"/>
        <v>11</v>
      </c>
      <c r="B21" s="184" t="s">
        <v>225</v>
      </c>
      <c r="C21" s="185" t="s">
        <v>224</v>
      </c>
      <c r="D21" s="481">
        <v>1718484.3400000003</v>
      </c>
      <c r="E21" s="197">
        <v>367155.5</v>
      </c>
      <c r="F21" s="193">
        <f t="shared" si="0"/>
        <v>0.21365076856039314</v>
      </c>
      <c r="G21" s="481">
        <v>1365732</v>
      </c>
      <c r="H21" s="194">
        <f t="shared" si="1"/>
        <v>291789.69144752284</v>
      </c>
      <c r="I21" s="197"/>
      <c r="J21" s="197"/>
      <c r="K21" s="197">
        <v>126937.93491999997</v>
      </c>
      <c r="L21" s="197"/>
      <c r="M21" s="197">
        <v>23517.905039999998</v>
      </c>
      <c r="N21" s="197">
        <v>6801.3453600000003</v>
      </c>
      <c r="O21" s="197">
        <v>6978.8905199999999</v>
      </c>
      <c r="P21" s="197"/>
      <c r="Q21" s="197"/>
      <c r="R21" s="197">
        <v>-1447.6759199999999</v>
      </c>
      <c r="S21" s="197">
        <v>81.943920000000006</v>
      </c>
      <c r="T21" s="197">
        <v>21469.307039999996</v>
      </c>
      <c r="U21" s="197">
        <v>-10232</v>
      </c>
      <c r="V21" s="195">
        <f t="shared" si="2"/>
        <v>465897.34232752275</v>
      </c>
      <c r="W21" s="192"/>
      <c r="X21" s="196">
        <f t="shared" si="9"/>
        <v>0</v>
      </c>
      <c r="Y21" s="192"/>
      <c r="Z21" s="196">
        <f t="shared" si="10"/>
        <v>0</v>
      </c>
      <c r="AA21" s="194"/>
      <c r="AB21" s="194">
        <f t="shared" si="6"/>
        <v>465897.34232752275</v>
      </c>
      <c r="AC21" s="196">
        <f t="shared" si="11"/>
        <v>0</v>
      </c>
    </row>
    <row r="22" spans="1:29" x14ac:dyDescent="0.2">
      <c r="A22" s="185">
        <f t="shared" si="8"/>
        <v>12</v>
      </c>
      <c r="B22" s="184" t="s">
        <v>223</v>
      </c>
      <c r="C22" s="185" t="s">
        <v>222</v>
      </c>
      <c r="D22" s="481">
        <v>97500425.645479575</v>
      </c>
      <c r="E22" s="197">
        <v>4790056.76</v>
      </c>
      <c r="F22" s="193">
        <f t="shared" si="0"/>
        <v>4.9128572806616068E-2</v>
      </c>
      <c r="G22" s="481">
        <v>73729827</v>
      </c>
      <c r="H22" s="194">
        <f t="shared" si="1"/>
        <v>3622241.1737887072</v>
      </c>
      <c r="I22" s="192"/>
      <c r="J22" s="197"/>
      <c r="K22" s="197">
        <v>332829.27853867959</v>
      </c>
      <c r="L22" s="197"/>
      <c r="M22" s="197">
        <v>193996.71836803388</v>
      </c>
      <c r="N22" s="197">
        <v>76924.304812573639</v>
      </c>
      <c r="O22" s="197">
        <v>156307.23324</v>
      </c>
      <c r="P22" s="197"/>
      <c r="Q22" s="197"/>
      <c r="R22" s="197">
        <v>-31099.97812675211</v>
      </c>
      <c r="S22" s="197">
        <v>6635.6844300000002</v>
      </c>
      <c r="T22" s="197">
        <v>946360.50789127697</v>
      </c>
      <c r="U22" s="197"/>
      <c r="V22" s="195">
        <f t="shared" si="2"/>
        <v>5304194.9229425192</v>
      </c>
      <c r="W22" s="192"/>
      <c r="X22" s="196">
        <f t="shared" si="9"/>
        <v>0</v>
      </c>
      <c r="Y22" s="192"/>
      <c r="Z22" s="196">
        <f t="shared" si="10"/>
        <v>0</v>
      </c>
      <c r="AA22" s="194"/>
      <c r="AB22" s="194">
        <f t="shared" si="6"/>
        <v>5304194.9229425192</v>
      </c>
      <c r="AC22" s="196">
        <f t="shared" si="11"/>
        <v>0</v>
      </c>
    </row>
    <row r="23" spans="1:29" x14ac:dyDescent="0.2">
      <c r="A23" s="185">
        <f t="shared" si="8"/>
        <v>13</v>
      </c>
      <c r="B23" s="184" t="s">
        <v>221</v>
      </c>
      <c r="C23" s="185" t="s">
        <v>208</v>
      </c>
      <c r="D23" s="481">
        <v>44508541</v>
      </c>
      <c r="E23" s="197">
        <v>195933.21000000002</v>
      </c>
      <c r="F23" s="193">
        <f t="shared" si="0"/>
        <v>4.4021485673951888E-3</v>
      </c>
      <c r="G23" s="481">
        <v>33595800</v>
      </c>
      <c r="H23" s="194">
        <f t="shared" si="1"/>
        <v>147893.70284049527</v>
      </c>
      <c r="I23" s="192"/>
      <c r="J23" s="197"/>
      <c r="K23" s="197">
        <v>475168.55343999993</v>
      </c>
      <c r="L23" s="197"/>
      <c r="M23" s="197">
        <v>61919.784</v>
      </c>
      <c r="N23" s="197">
        <v>24843.48</v>
      </c>
      <c r="O23" s="197">
        <v>71223.09599999999</v>
      </c>
      <c r="P23" s="197">
        <v>3741778.0260000001</v>
      </c>
      <c r="Q23" s="197"/>
      <c r="R23" s="197">
        <v>-6212.7060000000001</v>
      </c>
      <c r="S23" s="197">
        <v>3023.6220000000003</v>
      </c>
      <c r="T23" s="197">
        <v>157924.33799999999</v>
      </c>
      <c r="U23" s="197"/>
      <c r="V23" s="195">
        <f t="shared" si="2"/>
        <v>4677561.8962804954</v>
      </c>
      <c r="W23" s="192"/>
      <c r="X23" s="196">
        <f t="shared" si="9"/>
        <v>0</v>
      </c>
      <c r="Y23" s="192"/>
      <c r="Z23" s="196">
        <f t="shared" si="10"/>
        <v>0</v>
      </c>
      <c r="AA23" s="194"/>
      <c r="AB23" s="194">
        <f t="shared" si="6"/>
        <v>4677561.8962804954</v>
      </c>
      <c r="AC23" s="196">
        <f t="shared" si="11"/>
        <v>0</v>
      </c>
    </row>
    <row r="24" spans="1:29" x14ac:dyDescent="0.2">
      <c r="A24" s="185">
        <f t="shared" si="8"/>
        <v>14</v>
      </c>
      <c r="B24" s="184" t="s">
        <v>207</v>
      </c>
      <c r="D24" s="481">
        <v>32154478.538398605</v>
      </c>
      <c r="E24" s="197">
        <v>1699064.4523564125</v>
      </c>
      <c r="F24" s="198">
        <f t="shared" si="0"/>
        <v>5.2840678175744761E-2</v>
      </c>
      <c r="G24" s="481">
        <v>33552816</v>
      </c>
      <c r="H24" s="194">
        <f t="shared" si="1"/>
        <v>1772953.5521459796</v>
      </c>
      <c r="I24" s="192"/>
      <c r="J24" s="197"/>
      <c r="K24" s="197">
        <v>1401276.6008886266</v>
      </c>
      <c r="L24" s="197"/>
      <c r="M24" s="197"/>
      <c r="N24" s="197"/>
      <c r="O24" s="197">
        <v>24493.555680000001</v>
      </c>
      <c r="P24" s="197"/>
      <c r="Q24" s="197"/>
      <c r="R24" s="197">
        <v>0</v>
      </c>
      <c r="S24" s="197">
        <v>3355.2816000000003</v>
      </c>
      <c r="T24" s="197">
        <v>0</v>
      </c>
      <c r="U24" s="197"/>
      <c r="V24" s="195">
        <f t="shared" si="2"/>
        <v>3202078.9903146061</v>
      </c>
      <c r="W24" s="192"/>
      <c r="X24" s="196">
        <f t="shared" si="9"/>
        <v>0</v>
      </c>
      <c r="Y24" s="192"/>
      <c r="Z24" s="196">
        <f t="shared" si="10"/>
        <v>0</v>
      </c>
      <c r="AA24" s="194"/>
      <c r="AB24" s="194">
        <f t="shared" si="6"/>
        <v>3202078.9903146061</v>
      </c>
      <c r="AC24" s="196">
        <f t="shared" si="11"/>
        <v>0</v>
      </c>
    </row>
    <row r="25" spans="1:29" x14ac:dyDescent="0.2">
      <c r="A25" s="185">
        <f t="shared" si="8"/>
        <v>15</v>
      </c>
      <c r="B25" s="184" t="s">
        <v>10</v>
      </c>
      <c r="D25" s="199">
        <f>SUM(D11:D24)</f>
        <v>1217415528.060853</v>
      </c>
      <c r="E25" s="200">
        <f>SUM(E11:E24)</f>
        <v>567392394.92043555</v>
      </c>
      <c r="F25" s="193">
        <f t="shared" si="0"/>
        <v>0.46606305065305048</v>
      </c>
      <c r="G25" s="199">
        <f t="shared" ref="G25:W25" si="12">SUM(G11:G24)</f>
        <v>1116377814</v>
      </c>
      <c r="H25" s="200">
        <f t="shared" si="12"/>
        <v>531589599.11129498</v>
      </c>
      <c r="I25" s="200">
        <f t="shared" si="12"/>
        <v>493912890.94</v>
      </c>
      <c r="J25" s="200">
        <f t="shared" si="12"/>
        <v>-179802070.85999998</v>
      </c>
      <c r="K25" s="200">
        <f t="shared" si="12"/>
        <v>79444118.974699914</v>
      </c>
      <c r="L25" s="200">
        <f t="shared" si="12"/>
        <v>32666847.8686</v>
      </c>
      <c r="M25" s="200">
        <f t="shared" si="12"/>
        <v>63789040.431232281</v>
      </c>
      <c r="N25" s="200">
        <f t="shared" si="12"/>
        <v>13095536.102019949</v>
      </c>
      <c r="O25" s="200">
        <f t="shared" si="12"/>
        <v>14777596.063869998</v>
      </c>
      <c r="P25" s="200">
        <f t="shared" si="12"/>
        <v>1906050.5682329428</v>
      </c>
      <c r="Q25" s="200">
        <f t="shared" si="12"/>
        <v>38627643.844832323</v>
      </c>
      <c r="R25" s="200">
        <f t="shared" si="12"/>
        <v>-3035230.685976285</v>
      </c>
      <c r="S25" s="200">
        <f t="shared" si="12"/>
        <v>91301.616320000016</v>
      </c>
      <c r="T25" s="200">
        <f t="shared" si="12"/>
        <v>60504465.282221735</v>
      </c>
      <c r="U25" s="200">
        <f t="shared" si="12"/>
        <v>24232521.84</v>
      </c>
      <c r="V25" s="201">
        <f t="shared" si="12"/>
        <v>1171800311.0973477</v>
      </c>
      <c r="W25" s="200">
        <f t="shared" si="12"/>
        <v>-2612028.6000000141</v>
      </c>
      <c r="X25" s="202">
        <f t="shared" si="9"/>
        <v>-2.2290731409295717E-3</v>
      </c>
      <c r="Y25" s="200">
        <f>SUM(Y11:Y24)</f>
        <v>127008311.83000001</v>
      </c>
      <c r="Z25" s="202">
        <f t="shared" si="10"/>
        <v>0.10838733411075938</v>
      </c>
      <c r="AA25" s="200">
        <f>SUM(AA11:AA24)</f>
        <v>124396283.22999999</v>
      </c>
      <c r="AB25" s="200">
        <f>SUM(AB11:AB24)</f>
        <v>1296196594.3273482</v>
      </c>
      <c r="AC25" s="202">
        <f t="shared" si="11"/>
        <v>0.1061582609698298</v>
      </c>
    </row>
    <row r="26" spans="1:29" x14ac:dyDescent="0.2">
      <c r="A26" s="185"/>
      <c r="D26" s="203"/>
      <c r="E26" s="194"/>
      <c r="G26" s="203"/>
      <c r="M26" s="194"/>
      <c r="N26" s="194"/>
      <c r="U26" s="194"/>
      <c r="V26" s="194"/>
      <c r="AC26" s="196"/>
    </row>
    <row r="27" spans="1:29" s="208" customFormat="1" x14ac:dyDescent="0.2">
      <c r="A27" s="185"/>
      <c r="B27" s="204" t="s">
        <v>220</v>
      </c>
      <c r="C27" s="205"/>
      <c r="D27" s="206"/>
      <c r="E27" s="207"/>
      <c r="W27" s="195"/>
      <c r="X27" s="195"/>
      <c r="Y27" s="195"/>
      <c r="Z27" s="195"/>
      <c r="AA27" s="195"/>
      <c r="AB27" s="195"/>
      <c r="AC27" s="209"/>
    </row>
    <row r="28" spans="1:29" s="208" customFormat="1" x14ac:dyDescent="0.2">
      <c r="A28" s="185">
        <f>A25+1</f>
        <v>16</v>
      </c>
      <c r="B28" s="210" t="s">
        <v>14</v>
      </c>
      <c r="C28" s="211" t="s">
        <v>219</v>
      </c>
      <c r="D28" s="212">
        <f>D11+D12</f>
        <v>620844874.32387137</v>
      </c>
      <c r="E28" s="213">
        <f>E11+E12</f>
        <v>403618690.2447409</v>
      </c>
      <c r="F28" s="193">
        <f t="shared" ref="F28:F36" si="13">(E28)/D28</f>
        <v>0.65011197955737365</v>
      </c>
      <c r="G28" s="212">
        <f t="shared" ref="G28:V28" si="14">G11+G12</f>
        <v>563383571</v>
      </c>
      <c r="H28" s="213">
        <f t="shared" si="14"/>
        <v>366262422.84164059</v>
      </c>
      <c r="I28" s="213">
        <f t="shared" si="14"/>
        <v>313303237.67000002</v>
      </c>
      <c r="J28" s="213">
        <f t="shared" si="14"/>
        <v>-113651367.78</v>
      </c>
      <c r="K28" s="213">
        <f t="shared" si="14"/>
        <v>36109874.261390097</v>
      </c>
      <c r="L28" s="213">
        <f t="shared" si="14"/>
        <v>20597303.355760001</v>
      </c>
      <c r="M28" s="213">
        <f t="shared" si="14"/>
        <v>48050459.72535</v>
      </c>
      <c r="N28" s="213">
        <f t="shared" si="14"/>
        <v>8991503.5433999989</v>
      </c>
      <c r="O28" s="213">
        <f t="shared" si="14"/>
        <v>9436674.814249998</v>
      </c>
      <c r="P28" s="213">
        <f t="shared" si="14"/>
        <v>-1239443.8561999998</v>
      </c>
      <c r="Q28" s="213">
        <f t="shared" si="14"/>
        <v>26332548.108539999</v>
      </c>
      <c r="R28" s="213">
        <f t="shared" si="14"/>
        <v>-2022547.0198899996</v>
      </c>
      <c r="S28" s="213">
        <f t="shared" si="14"/>
        <v>50704.521390000009</v>
      </c>
      <c r="T28" s="213">
        <f t="shared" si="14"/>
        <v>40101642.583779991</v>
      </c>
      <c r="U28" s="213">
        <f t="shared" si="14"/>
        <v>24180158.649999999</v>
      </c>
      <c r="V28" s="213">
        <f t="shared" si="14"/>
        <v>776503171.41941071</v>
      </c>
      <c r="W28" s="194">
        <f>SUM(W11:W12)</f>
        <v>-1571840.1600000095</v>
      </c>
      <c r="X28" s="196">
        <f t="shared" ref="X28:X36" si="15">W28/V28</f>
        <v>-2.0242546558139111E-3</v>
      </c>
      <c r="Y28" s="194">
        <f>SUM(Y11:Y12)</f>
        <v>80507512.300000012</v>
      </c>
      <c r="Z28" s="196">
        <f t="shared" ref="Z28:Z36" si="16">Y28/V28</f>
        <v>0.10367956663053433</v>
      </c>
      <c r="AA28" s="194">
        <f>SUM(AA11:AA12)</f>
        <v>78935672.140000001</v>
      </c>
      <c r="AB28" s="194">
        <f>SUM(AB11:AB12)</f>
        <v>855438843.55941081</v>
      </c>
      <c r="AC28" s="196">
        <f t="shared" ref="AC28:AC36" si="17">AA28/V28</f>
        <v>0.10165531197472041</v>
      </c>
    </row>
    <row r="29" spans="1:29" s="208" customFormat="1" x14ac:dyDescent="0.2">
      <c r="A29" s="185">
        <f t="shared" ref="A29:A36" si="18">A28+1</f>
        <v>17</v>
      </c>
      <c r="B29" s="214" t="s">
        <v>218</v>
      </c>
      <c r="C29" s="211" t="s">
        <v>217</v>
      </c>
      <c r="D29" s="212">
        <f t="shared" ref="D29:E33" si="19">D13+D18</f>
        <v>222203870.67539161</v>
      </c>
      <c r="E29" s="213">
        <f t="shared" si="19"/>
        <v>122144982.04000001</v>
      </c>
      <c r="F29" s="193">
        <f t="shared" si="13"/>
        <v>0.54969781430331843</v>
      </c>
      <c r="G29" s="212">
        <f t="shared" ref="G29:V29" si="20">G13+G18</f>
        <v>230116288</v>
      </c>
      <c r="H29" s="213">
        <f t="shared" si="20"/>
        <v>126490623.42039621</v>
      </c>
      <c r="I29" s="213">
        <f t="shared" si="20"/>
        <v>126467309.56</v>
      </c>
      <c r="J29" s="213">
        <f t="shared" si="20"/>
        <v>-46069280.859999999</v>
      </c>
      <c r="K29" s="213">
        <f t="shared" si="20"/>
        <v>23819948.612333745</v>
      </c>
      <c r="L29" s="213">
        <f t="shared" si="20"/>
        <v>8413051.4892800003</v>
      </c>
      <c r="M29" s="213">
        <f t="shared" si="20"/>
        <v>12918728.40832</v>
      </c>
      <c r="N29" s="213">
        <f t="shared" si="20"/>
        <v>3152593.1455999999</v>
      </c>
      <c r="O29" s="213">
        <f t="shared" si="20"/>
        <v>4116780.3923200001</v>
      </c>
      <c r="P29" s="213">
        <f t="shared" si="20"/>
        <v>-464834.90176000004</v>
      </c>
      <c r="Q29" s="213">
        <f t="shared" si="20"/>
        <v>9131014.3078400008</v>
      </c>
      <c r="R29" s="213">
        <f t="shared" si="20"/>
        <v>-759383.75040000002</v>
      </c>
      <c r="S29" s="213">
        <f t="shared" si="20"/>
        <v>13806.977280000001</v>
      </c>
      <c r="T29" s="213">
        <f t="shared" si="20"/>
        <v>15024292.44352</v>
      </c>
      <c r="U29" s="213">
        <f t="shared" si="20"/>
        <v>1024017.48</v>
      </c>
      <c r="V29" s="213">
        <f t="shared" si="20"/>
        <v>283278666.72472996</v>
      </c>
      <c r="W29" s="194">
        <f>SUM(W13,W18)</f>
        <v>-616711.65000000596</v>
      </c>
      <c r="X29" s="196">
        <f t="shared" si="15"/>
        <v>-2.1770493949665559E-3</v>
      </c>
      <c r="Y29" s="194">
        <f>SUM(Y13,Y18)</f>
        <v>32533840.799999997</v>
      </c>
      <c r="Z29" s="196">
        <f t="shared" si="16"/>
        <v>0.11484747925481473</v>
      </c>
      <c r="AA29" s="194">
        <f t="shared" ref="AA29:AB33" si="21">SUM(AA13,AA18)</f>
        <v>31917129.149999991</v>
      </c>
      <c r="AB29" s="194">
        <f t="shared" si="21"/>
        <v>315195795.87472993</v>
      </c>
      <c r="AC29" s="196">
        <f t="shared" si="17"/>
        <v>0.11267042985984817</v>
      </c>
    </row>
    <row r="30" spans="1:29" s="208" customFormat="1" x14ac:dyDescent="0.2">
      <c r="A30" s="185">
        <f t="shared" si="18"/>
        <v>18</v>
      </c>
      <c r="B30" s="210" t="s">
        <v>216</v>
      </c>
      <c r="C30" s="211" t="s">
        <v>215</v>
      </c>
      <c r="D30" s="212">
        <f t="shared" si="19"/>
        <v>82012496.764967203</v>
      </c>
      <c r="E30" s="213">
        <f t="shared" si="19"/>
        <v>22261797.053338237</v>
      </c>
      <c r="F30" s="193">
        <f t="shared" si="13"/>
        <v>0.27144396197492282</v>
      </c>
      <c r="G30" s="212">
        <f t="shared" ref="G30:V30" si="22">G14+G19</f>
        <v>84183096</v>
      </c>
      <c r="H30" s="213">
        <f t="shared" si="22"/>
        <v>22789824.537452549</v>
      </c>
      <c r="I30" s="213">
        <f t="shared" si="22"/>
        <v>33768581.280000001</v>
      </c>
      <c r="J30" s="213">
        <f t="shared" si="22"/>
        <v>-12373441.890000001</v>
      </c>
      <c r="K30" s="213">
        <f t="shared" si="22"/>
        <v>8760136.4990428798</v>
      </c>
      <c r="L30" s="213">
        <f t="shared" si="22"/>
        <v>2305437.9539999999</v>
      </c>
      <c r="M30" s="213">
        <f t="shared" si="22"/>
        <v>1805727.4091999999</v>
      </c>
      <c r="N30" s="213">
        <f t="shared" si="22"/>
        <v>565710.40512000001</v>
      </c>
      <c r="O30" s="213">
        <f t="shared" si="22"/>
        <v>618745.75560000003</v>
      </c>
      <c r="P30" s="213">
        <f t="shared" si="22"/>
        <v>-97110.89850000001</v>
      </c>
      <c r="Q30" s="213">
        <f t="shared" si="22"/>
        <v>1748852.0280493097</v>
      </c>
      <c r="R30" s="213">
        <f t="shared" si="22"/>
        <v>-123814.92059999998</v>
      </c>
      <c r="S30" s="213">
        <f t="shared" si="22"/>
        <v>5892.8167199999989</v>
      </c>
      <c r="T30" s="213">
        <f t="shared" si="22"/>
        <v>2627354.4261600003</v>
      </c>
      <c r="U30" s="213">
        <f t="shared" si="22"/>
        <v>-920058.5</v>
      </c>
      <c r="V30" s="213">
        <f t="shared" si="22"/>
        <v>61481836.902244739</v>
      </c>
      <c r="W30" s="194">
        <f>SUM(W14,W19)</f>
        <v>-344932.86999999732</v>
      </c>
      <c r="X30" s="196">
        <f t="shared" si="15"/>
        <v>-5.6103214767059704E-3</v>
      </c>
      <c r="Y30" s="194">
        <f>SUM(Y14,Y19)</f>
        <v>8666832.4000000004</v>
      </c>
      <c r="Z30" s="196">
        <f t="shared" si="16"/>
        <v>0.14096573616985683</v>
      </c>
      <c r="AA30" s="194">
        <f t="shared" si="21"/>
        <v>8321899.5300000031</v>
      </c>
      <c r="AB30" s="194">
        <f t="shared" si="21"/>
        <v>69803736.432244733</v>
      </c>
      <c r="AC30" s="196">
        <f t="shared" si="17"/>
        <v>0.13535541469315088</v>
      </c>
    </row>
    <row r="31" spans="1:29" s="208" customFormat="1" x14ac:dyDescent="0.2">
      <c r="A31" s="185">
        <f t="shared" si="18"/>
        <v>19</v>
      </c>
      <c r="B31" s="210" t="s">
        <v>38</v>
      </c>
      <c r="C31" s="211" t="s">
        <v>214</v>
      </c>
      <c r="D31" s="212">
        <f t="shared" si="19"/>
        <v>88879730.522699013</v>
      </c>
      <c r="E31" s="213">
        <f t="shared" si="19"/>
        <v>9611990.370000001</v>
      </c>
      <c r="F31" s="193">
        <f t="shared" si="13"/>
        <v>0.10814603412355298</v>
      </c>
      <c r="G31" s="212">
        <f t="shared" ref="G31:V31" si="23">G15+G20</f>
        <v>72956344</v>
      </c>
      <c r="H31" s="213">
        <f t="shared" si="23"/>
        <v>7897920.1984296199</v>
      </c>
      <c r="I31" s="213">
        <f t="shared" si="23"/>
        <v>8742484.2100000009</v>
      </c>
      <c r="J31" s="213">
        <f t="shared" si="23"/>
        <v>-3301079.49</v>
      </c>
      <c r="K31" s="213">
        <f t="shared" si="23"/>
        <v>7741739.79876142</v>
      </c>
      <c r="L31" s="213">
        <f t="shared" si="23"/>
        <v>577386.45336000004</v>
      </c>
      <c r="M31" s="213">
        <f t="shared" si="23"/>
        <v>586366.5385369868</v>
      </c>
      <c r="N31" s="213">
        <f t="shared" si="23"/>
        <v>227669.65484841721</v>
      </c>
      <c r="O31" s="213">
        <f t="shared" si="23"/>
        <v>281611.48784000007</v>
      </c>
      <c r="P31" s="213">
        <f t="shared" si="23"/>
        <v>-22618.540079999999</v>
      </c>
      <c r="Q31" s="213">
        <f t="shared" si="23"/>
        <v>859054.12831497844</v>
      </c>
      <c r="R31" s="213">
        <f t="shared" si="23"/>
        <v>-80935.156400000007</v>
      </c>
      <c r="S31" s="213">
        <f t="shared" si="23"/>
        <v>5836.507520000001</v>
      </c>
      <c r="T31" s="213">
        <f t="shared" si="23"/>
        <v>1385440.9725600001</v>
      </c>
      <c r="U31" s="213">
        <f t="shared" si="23"/>
        <v>0</v>
      </c>
      <c r="V31" s="213">
        <f t="shared" si="23"/>
        <v>24900876.763691425</v>
      </c>
      <c r="W31" s="194">
        <f>SUM(W15,W20)</f>
        <v>-39801.620000001043</v>
      </c>
      <c r="X31" s="196">
        <f t="shared" si="15"/>
        <v>-1.5984023525644187E-3</v>
      </c>
      <c r="Y31" s="194">
        <f>SUM(Y15,Y20)</f>
        <v>2272023.5900000003</v>
      </c>
      <c r="Z31" s="196">
        <f t="shared" si="16"/>
        <v>9.1242714526136415E-2</v>
      </c>
      <c r="AA31" s="194">
        <f t="shared" si="21"/>
        <v>2232221.9699999993</v>
      </c>
      <c r="AB31" s="194">
        <f t="shared" si="21"/>
        <v>27133098.733691424</v>
      </c>
      <c r="AC31" s="196">
        <f t="shared" si="17"/>
        <v>8.9644312173571994E-2</v>
      </c>
    </row>
    <row r="32" spans="1:29" s="208" customFormat="1" x14ac:dyDescent="0.2">
      <c r="A32" s="185">
        <f t="shared" si="18"/>
        <v>20</v>
      </c>
      <c r="B32" s="210" t="s">
        <v>213</v>
      </c>
      <c r="C32" s="211" t="s">
        <v>212</v>
      </c>
      <c r="D32" s="212">
        <f t="shared" si="19"/>
        <v>7491654.8276905455</v>
      </c>
      <c r="E32" s="213">
        <f t="shared" si="19"/>
        <v>1560031.02</v>
      </c>
      <c r="F32" s="193">
        <f t="shared" si="13"/>
        <v>0.20823583785972574</v>
      </c>
      <c r="G32" s="212">
        <f t="shared" ref="G32:V32" si="24">G16+G21</f>
        <v>6373370</v>
      </c>
      <c r="H32" s="213">
        <f t="shared" si="24"/>
        <v>1326487.8345143748</v>
      </c>
      <c r="I32" s="213">
        <f t="shared" si="24"/>
        <v>2529535.3600000003</v>
      </c>
      <c r="J32" s="213">
        <f t="shared" si="24"/>
        <v>-951551.37</v>
      </c>
      <c r="K32" s="213">
        <f t="shared" si="24"/>
        <v>640679.77019999991</v>
      </c>
      <c r="L32" s="213">
        <f t="shared" si="24"/>
        <v>164901.51934</v>
      </c>
      <c r="M32" s="213">
        <f t="shared" si="24"/>
        <v>109749.43139999999</v>
      </c>
      <c r="N32" s="213">
        <f t="shared" si="24"/>
        <v>31739.382600000001</v>
      </c>
      <c r="O32" s="213">
        <f t="shared" si="24"/>
        <v>32567.920700000002</v>
      </c>
      <c r="P32" s="213">
        <f t="shared" si="24"/>
        <v>-1752.6733000000002</v>
      </c>
      <c r="Q32" s="213">
        <f t="shared" si="24"/>
        <v>208300.94617265993</v>
      </c>
      <c r="R32" s="213">
        <f t="shared" si="24"/>
        <v>-5804.3209799999995</v>
      </c>
      <c r="S32" s="213">
        <f t="shared" si="24"/>
        <v>382.40219999999999</v>
      </c>
      <c r="T32" s="213">
        <f t="shared" si="24"/>
        <v>100189.37639999999</v>
      </c>
      <c r="U32" s="213">
        <f t="shared" si="24"/>
        <v>-51595.79</v>
      </c>
      <c r="V32" s="213">
        <f t="shared" si="24"/>
        <v>4133829.7892470341</v>
      </c>
      <c r="W32" s="194">
        <f>SUM(W16,W21)</f>
        <v>-6760.3100000000559</v>
      </c>
      <c r="X32" s="196">
        <f t="shared" si="15"/>
        <v>-1.6353624470908435E-3</v>
      </c>
      <c r="Y32" s="194">
        <f>SUM(Y16,Y21)</f>
        <v>657552.93999999994</v>
      </c>
      <c r="Z32" s="196">
        <f t="shared" si="16"/>
        <v>0.15906628321041041</v>
      </c>
      <c r="AA32" s="194">
        <f t="shared" si="21"/>
        <v>650792.62999999989</v>
      </c>
      <c r="AB32" s="194">
        <f t="shared" si="21"/>
        <v>4784622.419247034</v>
      </c>
      <c r="AC32" s="196">
        <f t="shared" si="17"/>
        <v>0.15743092076331958</v>
      </c>
    </row>
    <row r="33" spans="1:29" s="208" customFormat="1" x14ac:dyDescent="0.2">
      <c r="A33" s="185">
        <f t="shared" si="18"/>
        <v>21</v>
      </c>
      <c r="B33" s="215" t="s">
        <v>211</v>
      </c>
      <c r="C33" s="211" t="s">
        <v>210</v>
      </c>
      <c r="D33" s="212">
        <f t="shared" si="19"/>
        <v>119319881.40783478</v>
      </c>
      <c r="E33" s="213">
        <f t="shared" si="19"/>
        <v>6299906.5299999993</v>
      </c>
      <c r="F33" s="193">
        <f t="shared" si="13"/>
        <v>5.2798464561550719E-2</v>
      </c>
      <c r="G33" s="212">
        <f t="shared" ref="G33:V33" si="25">G17+G22</f>
        <v>92216529</v>
      </c>
      <c r="H33" s="213">
        <f t="shared" si="25"/>
        <v>4901473.0238752235</v>
      </c>
      <c r="I33" s="213">
        <f t="shared" si="25"/>
        <v>9101742.8599999994</v>
      </c>
      <c r="J33" s="213">
        <f t="shared" si="25"/>
        <v>-3455349.47</v>
      </c>
      <c r="K33" s="213">
        <f t="shared" si="25"/>
        <v>495294.87864314829</v>
      </c>
      <c r="L33" s="213">
        <f t="shared" si="25"/>
        <v>608767.09686000005</v>
      </c>
      <c r="M33" s="213">
        <f t="shared" si="25"/>
        <v>256089.13442529348</v>
      </c>
      <c r="N33" s="213">
        <f t="shared" si="25"/>
        <v>101476.49045153166</v>
      </c>
      <c r="O33" s="213">
        <f t="shared" si="25"/>
        <v>195499.04148000001</v>
      </c>
      <c r="P33" s="213">
        <f t="shared" si="25"/>
        <v>-9966.5879270577498</v>
      </c>
      <c r="Q33" s="213">
        <f t="shared" si="25"/>
        <v>347874.32591537002</v>
      </c>
      <c r="R33" s="213">
        <f t="shared" si="25"/>
        <v>-36532.811706285764</v>
      </c>
      <c r="S33" s="213">
        <f t="shared" si="25"/>
        <v>8299.4876100000001</v>
      </c>
      <c r="T33" s="213">
        <f t="shared" si="25"/>
        <v>1107621.1418017484</v>
      </c>
      <c r="U33" s="213">
        <f t="shared" si="25"/>
        <v>0</v>
      </c>
      <c r="V33" s="213">
        <f t="shared" si="25"/>
        <v>13622288.61142897</v>
      </c>
      <c r="W33" s="194">
        <f>SUM(W17,W22)</f>
        <v>-31981.990000000224</v>
      </c>
      <c r="X33" s="196">
        <f t="shared" si="15"/>
        <v>-2.3477692267632353E-3</v>
      </c>
      <c r="Y33" s="194">
        <f>SUM(Y17,Y22)</f>
        <v>2370549.8000000003</v>
      </c>
      <c r="Z33" s="196">
        <f t="shared" si="16"/>
        <v>0.17401993656272496</v>
      </c>
      <c r="AA33" s="194">
        <f t="shared" si="21"/>
        <v>2338567.81</v>
      </c>
      <c r="AB33" s="194">
        <f t="shared" si="21"/>
        <v>15960856.421428971</v>
      </c>
      <c r="AC33" s="196">
        <f t="shared" si="17"/>
        <v>0.17167216733596175</v>
      </c>
    </row>
    <row r="34" spans="1:29" s="208" customFormat="1" x14ac:dyDescent="0.2">
      <c r="A34" s="185">
        <f t="shared" si="18"/>
        <v>22</v>
      </c>
      <c r="B34" s="215" t="s">
        <v>209</v>
      </c>
      <c r="C34" s="211" t="s">
        <v>208</v>
      </c>
      <c r="D34" s="212">
        <f>D23</f>
        <v>44508541</v>
      </c>
      <c r="E34" s="213">
        <f>E23</f>
        <v>195933.21000000002</v>
      </c>
      <c r="F34" s="193">
        <f t="shared" si="13"/>
        <v>4.4021485673951888E-3</v>
      </c>
      <c r="G34" s="212">
        <f t="shared" ref="G34:W34" si="26">G23</f>
        <v>33595800</v>
      </c>
      <c r="H34" s="213">
        <f t="shared" si="26"/>
        <v>147893.70284049527</v>
      </c>
      <c r="I34" s="213">
        <f t="shared" si="26"/>
        <v>0</v>
      </c>
      <c r="J34" s="213">
        <f t="shared" si="26"/>
        <v>0</v>
      </c>
      <c r="K34" s="213">
        <f t="shared" si="26"/>
        <v>475168.55343999993</v>
      </c>
      <c r="L34" s="213">
        <f t="shared" si="26"/>
        <v>0</v>
      </c>
      <c r="M34" s="213">
        <f t="shared" si="26"/>
        <v>61919.784</v>
      </c>
      <c r="N34" s="213">
        <f t="shared" si="26"/>
        <v>24843.48</v>
      </c>
      <c r="O34" s="213">
        <f t="shared" si="26"/>
        <v>71223.09599999999</v>
      </c>
      <c r="P34" s="213">
        <f t="shared" si="26"/>
        <v>3741778.0260000001</v>
      </c>
      <c r="Q34" s="213">
        <f t="shared" si="26"/>
        <v>0</v>
      </c>
      <c r="R34" s="213">
        <f t="shared" si="26"/>
        <v>-6212.7060000000001</v>
      </c>
      <c r="S34" s="213">
        <f t="shared" si="26"/>
        <v>3023.6220000000003</v>
      </c>
      <c r="T34" s="213">
        <f t="shared" si="26"/>
        <v>157924.33799999999</v>
      </c>
      <c r="U34" s="213">
        <f t="shared" si="26"/>
        <v>0</v>
      </c>
      <c r="V34" s="213">
        <f t="shared" si="26"/>
        <v>4677561.8962804954</v>
      </c>
      <c r="W34" s="194">
        <f t="shared" si="26"/>
        <v>0</v>
      </c>
      <c r="X34" s="196">
        <f t="shared" si="15"/>
        <v>0</v>
      </c>
      <c r="Y34" s="194">
        <f>Y23</f>
        <v>0</v>
      </c>
      <c r="Z34" s="196">
        <f t="shared" si="16"/>
        <v>0</v>
      </c>
      <c r="AA34" s="194">
        <f>AA23</f>
        <v>0</v>
      </c>
      <c r="AB34" s="194">
        <f>AB23</f>
        <v>4677561.8962804954</v>
      </c>
      <c r="AC34" s="196">
        <f t="shared" si="17"/>
        <v>0</v>
      </c>
    </row>
    <row r="35" spans="1:29" s="208" customFormat="1" x14ac:dyDescent="0.2">
      <c r="A35" s="185">
        <f t="shared" si="18"/>
        <v>23</v>
      </c>
      <c r="B35" s="215" t="s">
        <v>207</v>
      </c>
      <c r="C35" s="210"/>
      <c r="D35" s="212">
        <f>D24</f>
        <v>32154478.538398605</v>
      </c>
      <c r="E35" s="213">
        <f>E24</f>
        <v>1699064.4523564125</v>
      </c>
      <c r="F35" s="193">
        <f t="shared" si="13"/>
        <v>5.2840678175744761E-2</v>
      </c>
      <c r="G35" s="212">
        <f t="shared" ref="G35:W35" si="27">G24</f>
        <v>33552816</v>
      </c>
      <c r="H35" s="213">
        <f t="shared" si="27"/>
        <v>1772953.5521459796</v>
      </c>
      <c r="I35" s="213">
        <f t="shared" si="27"/>
        <v>0</v>
      </c>
      <c r="J35" s="213">
        <f t="shared" si="27"/>
        <v>0</v>
      </c>
      <c r="K35" s="213">
        <f t="shared" si="27"/>
        <v>1401276.6008886266</v>
      </c>
      <c r="L35" s="213">
        <f t="shared" si="27"/>
        <v>0</v>
      </c>
      <c r="M35" s="213">
        <f t="shared" si="27"/>
        <v>0</v>
      </c>
      <c r="N35" s="213">
        <f t="shared" si="27"/>
        <v>0</v>
      </c>
      <c r="O35" s="213">
        <f t="shared" si="27"/>
        <v>24493.555680000001</v>
      </c>
      <c r="P35" s="213">
        <f t="shared" si="27"/>
        <v>0</v>
      </c>
      <c r="Q35" s="213">
        <f t="shared" si="27"/>
        <v>0</v>
      </c>
      <c r="R35" s="213">
        <f t="shared" si="27"/>
        <v>0</v>
      </c>
      <c r="S35" s="213">
        <f t="shared" si="27"/>
        <v>3355.2816000000003</v>
      </c>
      <c r="T35" s="213">
        <f t="shared" si="27"/>
        <v>0</v>
      </c>
      <c r="U35" s="213">
        <f t="shared" si="27"/>
        <v>0</v>
      </c>
      <c r="V35" s="213">
        <f t="shared" si="27"/>
        <v>3202078.9903146061</v>
      </c>
      <c r="W35" s="194">
        <f t="shared" si="27"/>
        <v>0</v>
      </c>
      <c r="X35" s="196">
        <f t="shared" si="15"/>
        <v>0</v>
      </c>
      <c r="Y35" s="194">
        <f>Y24</f>
        <v>0</v>
      </c>
      <c r="Z35" s="196">
        <f t="shared" si="16"/>
        <v>0</v>
      </c>
      <c r="AA35" s="194">
        <f>AA24</f>
        <v>0</v>
      </c>
      <c r="AB35" s="194">
        <f>AB24</f>
        <v>3202078.9903146061</v>
      </c>
      <c r="AC35" s="196">
        <f t="shared" si="17"/>
        <v>0</v>
      </c>
    </row>
    <row r="36" spans="1:29" s="208" customFormat="1" x14ac:dyDescent="0.2">
      <c r="A36" s="185">
        <f t="shared" si="18"/>
        <v>24</v>
      </c>
      <c r="B36" s="215" t="s">
        <v>10</v>
      </c>
      <c r="C36" s="215"/>
      <c r="D36" s="216">
        <f>SUM(D28:D35)</f>
        <v>1217415528.0608532</v>
      </c>
      <c r="E36" s="217">
        <f>SUM(E28:E35)</f>
        <v>567392394.92043567</v>
      </c>
      <c r="F36" s="218">
        <f t="shared" si="13"/>
        <v>0.46606305065305048</v>
      </c>
      <c r="G36" s="216">
        <f t="shared" ref="G36:W36" si="28">SUM(G28:G35)</f>
        <v>1116377814</v>
      </c>
      <c r="H36" s="217">
        <f t="shared" si="28"/>
        <v>531589599.1112951</v>
      </c>
      <c r="I36" s="217">
        <f t="shared" si="28"/>
        <v>493912890.94</v>
      </c>
      <c r="J36" s="217">
        <f t="shared" si="28"/>
        <v>-179802070.85999998</v>
      </c>
      <c r="K36" s="217">
        <f t="shared" si="28"/>
        <v>79444118.974699914</v>
      </c>
      <c r="L36" s="217">
        <f t="shared" si="28"/>
        <v>32666847.8686</v>
      </c>
      <c r="M36" s="217">
        <f t="shared" si="28"/>
        <v>63789040.431232281</v>
      </c>
      <c r="N36" s="217">
        <f t="shared" si="28"/>
        <v>13095536.102019949</v>
      </c>
      <c r="O36" s="217">
        <f t="shared" si="28"/>
        <v>14777596.063869998</v>
      </c>
      <c r="P36" s="217">
        <f t="shared" si="28"/>
        <v>1906050.5682329428</v>
      </c>
      <c r="Q36" s="217">
        <f t="shared" si="28"/>
        <v>38627643.844832323</v>
      </c>
      <c r="R36" s="217">
        <f t="shared" si="28"/>
        <v>-3035230.685976285</v>
      </c>
      <c r="S36" s="217">
        <f t="shared" si="28"/>
        <v>91301.616320000001</v>
      </c>
      <c r="T36" s="217">
        <f t="shared" si="28"/>
        <v>60504465.282221749</v>
      </c>
      <c r="U36" s="217">
        <f t="shared" si="28"/>
        <v>24232521.84</v>
      </c>
      <c r="V36" s="217">
        <f t="shared" si="28"/>
        <v>1171800311.0973482</v>
      </c>
      <c r="W36" s="200">
        <f t="shared" si="28"/>
        <v>-2612028.6000000141</v>
      </c>
      <c r="X36" s="202">
        <f t="shared" si="15"/>
        <v>-2.2290731409295708E-3</v>
      </c>
      <c r="Y36" s="200">
        <f>SUM(Y28:Y35)</f>
        <v>127008311.83000001</v>
      </c>
      <c r="Z36" s="202">
        <f t="shared" si="16"/>
        <v>0.10838733411075933</v>
      </c>
      <c r="AA36" s="200">
        <f>SUM(AA28:AA35)</f>
        <v>124396283.22999999</v>
      </c>
      <c r="AB36" s="200">
        <f>SUM(AB28:AB35)</f>
        <v>1296196594.3273482</v>
      </c>
      <c r="AC36" s="202">
        <f t="shared" si="17"/>
        <v>0.10615826096982976</v>
      </c>
    </row>
    <row r="37" spans="1:29" s="208" customFormat="1" x14ac:dyDescent="0.2">
      <c r="B37" s="219"/>
      <c r="C37" s="219"/>
      <c r="D37" s="219"/>
      <c r="E37" s="219"/>
      <c r="F37" s="219"/>
      <c r="I37" s="220"/>
      <c r="M37" s="219"/>
      <c r="N37" s="219"/>
      <c r="P37" s="219"/>
      <c r="Q37" s="219"/>
      <c r="R37" s="219"/>
      <c r="S37" s="219"/>
      <c r="T37" s="219"/>
      <c r="U37" s="219"/>
      <c r="V37" s="219"/>
      <c r="W37" s="221"/>
      <c r="X37" s="221"/>
      <c r="Y37" s="221"/>
      <c r="Z37" s="221"/>
      <c r="AA37" s="221"/>
      <c r="AB37" s="221"/>
    </row>
    <row r="38" spans="1:29" x14ac:dyDescent="0.2">
      <c r="B38" s="184" t="s">
        <v>357</v>
      </c>
    </row>
    <row r="39" spans="1:29" x14ac:dyDescent="0.2">
      <c r="B39" s="184" t="s">
        <v>360</v>
      </c>
    </row>
    <row r="41" spans="1:29" x14ac:dyDescent="0.2">
      <c r="B41" s="222" t="s">
        <v>206</v>
      </c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3">
        <v>-8.5681676864624023E-8</v>
      </c>
    </row>
  </sheetData>
  <printOptions horizontalCentered="1"/>
  <pageMargins left="0.45" right="0.45" top="0.75" bottom="0.75" header="0.3" footer="0.3"/>
  <pageSetup paperSize="5" scale="44" orientation="landscape" blackAndWhite="1" r:id="rId1"/>
  <headerFooter>
    <oddFooter>&amp;L&amp;F 
&amp;A&amp;RPage# &amp;P of &amp;N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9"/>
  <sheetViews>
    <sheetView zoomScaleNormal="100" workbookViewId="0">
      <pane ySplit="9" topLeftCell="A10" activePane="bottomLeft" state="frozen"/>
      <selection pane="bottomLeft" activeCell="R31" sqref="R31"/>
    </sheetView>
  </sheetViews>
  <sheetFormatPr defaultColWidth="9.140625" defaultRowHeight="11.25" x14ac:dyDescent="0.2"/>
  <cols>
    <col min="1" max="1" width="2.140625" style="208" customWidth="1"/>
    <col min="2" max="2" width="2.42578125" style="208" customWidth="1"/>
    <col min="3" max="3" width="34.85546875" style="208" customWidth="1"/>
    <col min="4" max="5" width="11.85546875" style="208" customWidth="1"/>
    <col min="6" max="6" width="2.7109375" style="220" customWidth="1"/>
    <col min="7" max="8" width="11.85546875" style="208" customWidth="1"/>
    <col min="9" max="9" width="2.7109375" style="208" customWidth="1"/>
    <col min="10" max="11" width="11.85546875" style="208" customWidth="1"/>
    <col min="12" max="12" width="2.7109375" style="208" customWidth="1"/>
    <col min="13" max="14" width="11.85546875" style="208" customWidth="1"/>
    <col min="15" max="16384" width="9.140625" style="208"/>
  </cols>
  <sheetData>
    <row r="1" spans="2:14" x14ac:dyDescent="0.2">
      <c r="B1" s="475" t="s">
        <v>11</v>
      </c>
      <c r="C1" s="224"/>
      <c r="D1" s="224"/>
      <c r="E1" s="224"/>
      <c r="F1" s="224"/>
      <c r="G1" s="224"/>
      <c r="H1" s="224"/>
      <c r="I1" s="182"/>
      <c r="J1" s="182"/>
      <c r="K1" s="182"/>
      <c r="L1" s="182"/>
      <c r="M1" s="182"/>
      <c r="N1" s="182"/>
    </row>
    <row r="2" spans="2:14" x14ac:dyDescent="0.2">
      <c r="B2" s="475" t="str">
        <f>'Rate Impacts Sch 101_106'!A2</f>
        <v>2024 Gas Schedule 101 &amp; 106 Purchased Gas Adjustment Filing</v>
      </c>
      <c r="C2" s="224"/>
      <c r="D2" s="224"/>
      <c r="E2" s="224"/>
      <c r="F2" s="224"/>
      <c r="G2" s="224"/>
      <c r="H2" s="224"/>
      <c r="I2" s="182"/>
      <c r="J2" s="182"/>
      <c r="K2" s="182"/>
      <c r="L2" s="182"/>
      <c r="M2" s="182"/>
      <c r="N2" s="182"/>
    </row>
    <row r="3" spans="2:14" x14ac:dyDescent="0.2">
      <c r="B3" s="476" t="s">
        <v>325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2:14" x14ac:dyDescent="0.2">
      <c r="B4" s="476" t="str">
        <f>'Rate Impacts Sch 101_106'!A4</f>
        <v>Proposed Rates Effective November 1, 2024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</row>
    <row r="6" spans="2:14" x14ac:dyDescent="0.2">
      <c r="G6" s="225" t="s">
        <v>324</v>
      </c>
      <c r="H6" s="225"/>
      <c r="J6" s="225" t="s">
        <v>323</v>
      </c>
      <c r="K6" s="225"/>
      <c r="M6" s="225"/>
      <c r="N6" s="225"/>
    </row>
    <row r="7" spans="2:14" x14ac:dyDescent="0.2">
      <c r="D7" s="226" t="s">
        <v>322</v>
      </c>
      <c r="E7" s="226"/>
      <c r="F7" s="215"/>
      <c r="G7" s="226" t="s">
        <v>321</v>
      </c>
      <c r="H7" s="226"/>
      <c r="J7" s="226" t="s">
        <v>321</v>
      </c>
      <c r="K7" s="226"/>
      <c r="M7" s="226" t="s">
        <v>320</v>
      </c>
      <c r="N7" s="226"/>
    </row>
    <row r="8" spans="2:14" x14ac:dyDescent="0.2">
      <c r="D8" s="227" t="s">
        <v>358</v>
      </c>
      <c r="E8" s="227" t="s">
        <v>318</v>
      </c>
      <c r="F8" s="228"/>
      <c r="G8" s="227" t="s">
        <v>319</v>
      </c>
      <c r="H8" s="227" t="s">
        <v>318</v>
      </c>
      <c r="J8" s="227" t="s">
        <v>319</v>
      </c>
      <c r="K8" s="227" t="s">
        <v>318</v>
      </c>
      <c r="M8" s="227" t="s">
        <v>319</v>
      </c>
      <c r="N8" s="227" t="s">
        <v>318</v>
      </c>
    </row>
    <row r="9" spans="2:14" x14ac:dyDescent="0.2">
      <c r="B9" s="208" t="s">
        <v>317</v>
      </c>
      <c r="D9" s="229">
        <v>64</v>
      </c>
      <c r="E9" s="230"/>
      <c r="F9" s="231"/>
      <c r="G9" s="229">
        <v>64</v>
      </c>
      <c r="H9" s="230"/>
      <c r="J9" s="229">
        <v>64</v>
      </c>
      <c r="K9" s="230"/>
      <c r="M9" s="229">
        <v>64</v>
      </c>
      <c r="N9" s="230"/>
    </row>
    <row r="10" spans="2:14" x14ac:dyDescent="0.2">
      <c r="D10" s="229"/>
      <c r="E10" s="230"/>
      <c r="F10" s="231"/>
      <c r="G10" s="229"/>
      <c r="H10" s="230"/>
      <c r="J10" s="229"/>
      <c r="K10" s="230"/>
      <c r="M10" s="229"/>
      <c r="N10" s="230"/>
    </row>
    <row r="11" spans="2:14" x14ac:dyDescent="0.2">
      <c r="B11" s="208" t="s">
        <v>316</v>
      </c>
      <c r="D11" s="229"/>
      <c r="E11" s="230"/>
      <c r="F11" s="231"/>
      <c r="G11" s="229"/>
      <c r="H11" s="230"/>
      <c r="J11" s="229"/>
      <c r="K11" s="230"/>
      <c r="M11" s="229"/>
      <c r="N11" s="230"/>
    </row>
    <row r="12" spans="2:14" x14ac:dyDescent="0.2">
      <c r="C12" s="208" t="s">
        <v>315</v>
      </c>
      <c r="D12" s="6">
        <v>12.5</v>
      </c>
      <c r="E12" s="230">
        <f>D12</f>
        <v>12.5</v>
      </c>
      <c r="F12" s="232"/>
      <c r="G12" s="221">
        <f>$D$12</f>
        <v>12.5</v>
      </c>
      <c r="H12" s="230">
        <f>G12</f>
        <v>12.5</v>
      </c>
      <c r="J12" s="221">
        <f>$D$12</f>
        <v>12.5</v>
      </c>
      <c r="K12" s="230">
        <f>J12</f>
        <v>12.5</v>
      </c>
      <c r="M12" s="221">
        <f>$D$12</f>
        <v>12.5</v>
      </c>
      <c r="N12" s="230">
        <f>M12</f>
        <v>12.5</v>
      </c>
    </row>
    <row r="13" spans="2:14" x14ac:dyDescent="0.2">
      <c r="C13" s="208" t="s">
        <v>39</v>
      </c>
      <c r="D13" s="233">
        <f>SUM(D12:D12)</f>
        <v>12.5</v>
      </c>
      <c r="E13" s="234">
        <f>SUM(E12:E12)</f>
        <v>12.5</v>
      </c>
      <c r="F13" s="232"/>
      <c r="G13" s="234">
        <f>SUM(G12:G12)</f>
        <v>12.5</v>
      </c>
      <c r="H13" s="234">
        <f>SUM(H12:H12)</f>
        <v>12.5</v>
      </c>
      <c r="J13" s="234">
        <f>SUM(J12:J12)</f>
        <v>12.5</v>
      </c>
      <c r="K13" s="234">
        <f>SUM(K12:K12)</f>
        <v>12.5</v>
      </c>
      <c r="M13" s="234">
        <f>SUM(M12:M12)</f>
        <v>12.5</v>
      </c>
      <c r="N13" s="234">
        <f>SUM(N12:N12)</f>
        <v>12.5</v>
      </c>
    </row>
    <row r="14" spans="2:14" x14ac:dyDescent="0.2">
      <c r="D14" s="235"/>
      <c r="E14" s="236"/>
      <c r="F14" s="232"/>
      <c r="G14" s="236"/>
      <c r="H14" s="236"/>
      <c r="J14" s="236"/>
      <c r="K14" s="236"/>
      <c r="M14" s="236"/>
      <c r="N14" s="236"/>
    </row>
    <row r="15" spans="2:14" x14ac:dyDescent="0.2">
      <c r="C15" s="208" t="s">
        <v>314</v>
      </c>
      <c r="D15" s="6">
        <v>-18.47</v>
      </c>
      <c r="E15" s="230">
        <f>D15</f>
        <v>-18.47</v>
      </c>
      <c r="F15" s="232"/>
      <c r="G15" s="237">
        <f>$D$15</f>
        <v>-18.47</v>
      </c>
      <c r="H15" s="230">
        <f>G15</f>
        <v>-18.47</v>
      </c>
      <c r="J15" s="237">
        <f>$D$15</f>
        <v>-18.47</v>
      </c>
      <c r="K15" s="230">
        <f>J15</f>
        <v>-18.47</v>
      </c>
      <c r="M15" s="237">
        <f>$D$15</f>
        <v>-18.47</v>
      </c>
      <c r="N15" s="230">
        <f>M15</f>
        <v>-18.47</v>
      </c>
    </row>
    <row r="16" spans="2:14" x14ac:dyDescent="0.2">
      <c r="D16" s="6"/>
      <c r="E16" s="230"/>
      <c r="F16" s="232"/>
      <c r="G16" s="221"/>
      <c r="H16" s="230"/>
      <c r="J16" s="221"/>
      <c r="K16" s="230"/>
      <c r="M16" s="221"/>
      <c r="N16" s="230"/>
    </row>
    <row r="17" spans="2:14" x14ac:dyDescent="0.2">
      <c r="B17" s="208" t="s">
        <v>313</v>
      </c>
      <c r="D17" s="157"/>
      <c r="E17" s="230"/>
      <c r="H17" s="230"/>
      <c r="K17" s="230"/>
      <c r="N17" s="230"/>
    </row>
    <row r="18" spans="2:14" x14ac:dyDescent="0.2">
      <c r="C18" s="208" t="s">
        <v>312</v>
      </c>
      <c r="D18" s="158">
        <v>0.45612999999999998</v>
      </c>
      <c r="E18" s="230"/>
      <c r="F18" s="239"/>
      <c r="G18" s="240">
        <f>$D$18</f>
        <v>0.45612999999999998</v>
      </c>
      <c r="H18" s="230"/>
      <c r="J18" s="240">
        <f>$D$18</f>
        <v>0.45612999999999998</v>
      </c>
      <c r="K18" s="230"/>
      <c r="M18" s="240">
        <f>$D$18</f>
        <v>0.45612999999999998</v>
      </c>
      <c r="N18" s="230"/>
    </row>
    <row r="19" spans="2:14" x14ac:dyDescent="0.2">
      <c r="C19" s="208" t="s">
        <v>311</v>
      </c>
      <c r="D19" s="158">
        <v>3.6560000000000002E-2</v>
      </c>
      <c r="E19" s="230"/>
      <c r="F19" s="239"/>
      <c r="G19" s="241">
        <f>$D$19</f>
        <v>3.6560000000000002E-2</v>
      </c>
      <c r="H19" s="230"/>
      <c r="J19" s="241">
        <f>$D$19</f>
        <v>3.6560000000000002E-2</v>
      </c>
      <c r="K19" s="230"/>
      <c r="M19" s="241">
        <f>$D$19</f>
        <v>3.6560000000000002E-2</v>
      </c>
      <c r="N19" s="230"/>
    </row>
    <row r="20" spans="2:14" x14ac:dyDescent="0.2">
      <c r="C20" s="208" t="s">
        <v>310</v>
      </c>
      <c r="D20" s="158">
        <v>8.5290000000000005E-2</v>
      </c>
      <c r="E20" s="230"/>
      <c r="F20" s="239"/>
      <c r="G20" s="242">
        <f>$D$20</f>
        <v>8.5290000000000005E-2</v>
      </c>
      <c r="H20" s="230"/>
      <c r="J20" s="242">
        <f>$D$20</f>
        <v>8.5290000000000005E-2</v>
      </c>
      <c r="K20" s="230"/>
      <c r="M20" s="242">
        <f>$D$20</f>
        <v>8.5290000000000005E-2</v>
      </c>
      <c r="N20" s="230"/>
    </row>
    <row r="21" spans="2:14" x14ac:dyDescent="0.2">
      <c r="C21" s="208" t="s">
        <v>309</v>
      </c>
      <c r="D21" s="158">
        <v>1.5959999999999998E-2</v>
      </c>
      <c r="E21" s="230"/>
      <c r="F21" s="239"/>
      <c r="G21" s="242">
        <f>$D$21</f>
        <v>1.5959999999999998E-2</v>
      </c>
      <c r="H21" s="230"/>
      <c r="J21" s="242">
        <f>$D$21</f>
        <v>1.5959999999999998E-2</v>
      </c>
      <c r="K21" s="230"/>
      <c r="M21" s="242">
        <f>$D$21</f>
        <v>1.5959999999999998E-2</v>
      </c>
      <c r="N21" s="230"/>
    </row>
    <row r="22" spans="2:14" x14ac:dyDescent="0.2">
      <c r="C22" s="208" t="s">
        <v>308</v>
      </c>
      <c r="D22" s="158">
        <v>1.6749999999999998E-2</v>
      </c>
      <c r="E22" s="230"/>
      <c r="F22" s="239"/>
      <c r="G22" s="242">
        <f>$D$22</f>
        <v>1.6749999999999998E-2</v>
      </c>
      <c r="H22" s="230"/>
      <c r="J22" s="242">
        <f>$D$22</f>
        <v>1.6749999999999998E-2</v>
      </c>
      <c r="K22" s="230"/>
      <c r="M22" s="242">
        <f>$D$22</f>
        <v>1.6749999999999998E-2</v>
      </c>
      <c r="N22" s="230"/>
    </row>
    <row r="23" spans="2:14" x14ac:dyDescent="0.2">
      <c r="C23" s="208" t="s">
        <v>307</v>
      </c>
      <c r="D23" s="158">
        <v>-2.1999999999999997E-3</v>
      </c>
      <c r="E23" s="230"/>
      <c r="F23" s="239"/>
      <c r="G23" s="242">
        <f>$D$23</f>
        <v>-2.1999999999999997E-3</v>
      </c>
      <c r="H23" s="230"/>
      <c r="J23" s="242">
        <f>$D$23</f>
        <v>-2.1999999999999997E-3</v>
      </c>
      <c r="K23" s="230"/>
      <c r="M23" s="242">
        <f>$D$23</f>
        <v>-2.1999999999999997E-3</v>
      </c>
      <c r="N23" s="230"/>
    </row>
    <row r="24" spans="2:14" x14ac:dyDescent="0.2">
      <c r="C24" s="208" t="s">
        <v>306</v>
      </c>
      <c r="D24" s="158">
        <v>4.6739999999999997E-2</v>
      </c>
      <c r="E24" s="230"/>
      <c r="F24" s="239"/>
      <c r="G24" s="242">
        <f>$D$24</f>
        <v>4.6739999999999997E-2</v>
      </c>
      <c r="H24" s="230"/>
      <c r="J24" s="242">
        <f>$D$24</f>
        <v>4.6739999999999997E-2</v>
      </c>
      <c r="K24" s="230"/>
      <c r="M24" s="242">
        <f>$D$24</f>
        <v>4.6739999999999997E-2</v>
      </c>
      <c r="N24" s="230"/>
    </row>
    <row r="25" spans="2:14" x14ac:dyDescent="0.2">
      <c r="C25" s="208" t="s">
        <v>305</v>
      </c>
      <c r="D25" s="158">
        <v>-3.5899999999999994E-3</v>
      </c>
      <c r="E25" s="230"/>
      <c r="F25" s="239"/>
      <c r="G25" s="242">
        <f>$D$25</f>
        <v>-3.5899999999999994E-3</v>
      </c>
      <c r="H25" s="230"/>
      <c r="J25" s="242">
        <f>$D$25</f>
        <v>-3.5899999999999994E-3</v>
      </c>
      <c r="K25" s="230"/>
      <c r="M25" s="242">
        <f>$D$25</f>
        <v>-3.5899999999999994E-3</v>
      </c>
      <c r="N25" s="230"/>
    </row>
    <row r="26" spans="2:14" x14ac:dyDescent="0.2">
      <c r="C26" s="208" t="s">
        <v>304</v>
      </c>
      <c r="D26" s="158">
        <v>9.0000000000000006E-5</v>
      </c>
      <c r="E26" s="230"/>
      <c r="F26" s="239"/>
      <c r="G26" s="242">
        <f>$D$26</f>
        <v>9.0000000000000006E-5</v>
      </c>
      <c r="H26" s="230"/>
      <c r="J26" s="242">
        <f>$D$26</f>
        <v>9.0000000000000006E-5</v>
      </c>
      <c r="K26" s="230"/>
      <c r="M26" s="242">
        <f>$D$26</f>
        <v>9.0000000000000006E-5</v>
      </c>
      <c r="N26" s="230"/>
    </row>
    <row r="27" spans="2:14" x14ac:dyDescent="0.2">
      <c r="C27" s="208" t="s">
        <v>303</v>
      </c>
      <c r="D27" s="158">
        <v>7.1179999999999993E-2</v>
      </c>
      <c r="E27" s="230"/>
      <c r="F27" s="239"/>
      <c r="G27" s="242">
        <f>$D$27</f>
        <v>7.1179999999999993E-2</v>
      </c>
      <c r="H27" s="230"/>
      <c r="J27" s="242">
        <f>$D$27</f>
        <v>7.1179999999999993E-2</v>
      </c>
      <c r="K27" s="230"/>
      <c r="M27" s="242">
        <f>$D$27</f>
        <v>7.1179999999999993E-2</v>
      </c>
      <c r="N27" s="230"/>
    </row>
    <row r="28" spans="2:14" x14ac:dyDescent="0.2">
      <c r="C28" s="208" t="s">
        <v>302</v>
      </c>
      <c r="D28" s="158">
        <v>4.292E-2</v>
      </c>
      <c r="E28" s="230"/>
      <c r="F28" s="239"/>
      <c r="G28" s="242">
        <f>$D$28</f>
        <v>4.292E-2</v>
      </c>
      <c r="H28" s="230"/>
      <c r="J28" s="242">
        <f>$D$28</f>
        <v>4.292E-2</v>
      </c>
      <c r="K28" s="230"/>
      <c r="M28" s="242">
        <f>$D$28</f>
        <v>4.292E-2</v>
      </c>
      <c r="N28" s="230"/>
    </row>
    <row r="29" spans="2:14" x14ac:dyDescent="0.2">
      <c r="C29" s="208" t="s">
        <v>39</v>
      </c>
      <c r="D29" s="243">
        <f>SUM(D18:D28)</f>
        <v>0.76583000000000001</v>
      </c>
      <c r="E29" s="230">
        <f>ROUND(D29*D$9,2)</f>
        <v>49.01</v>
      </c>
      <c r="F29" s="239"/>
      <c r="G29" s="244">
        <f>SUM(G18:G28)</f>
        <v>0.76583000000000001</v>
      </c>
      <c r="H29" s="230">
        <f>ROUND(G29*G$9,2)</f>
        <v>49.01</v>
      </c>
      <c r="J29" s="244">
        <f>SUM(J18:J28)</f>
        <v>0.76583000000000001</v>
      </c>
      <c r="K29" s="230">
        <f>ROUND(J29*J$9,2)</f>
        <v>49.01</v>
      </c>
      <c r="M29" s="244">
        <f>SUM(M18:M28)</f>
        <v>0.76583000000000001</v>
      </c>
      <c r="N29" s="230">
        <f>ROUND(M29*M$9,2)</f>
        <v>49.01</v>
      </c>
    </row>
    <row r="30" spans="2:14" x14ac:dyDescent="0.2">
      <c r="D30" s="219"/>
    </row>
    <row r="31" spans="2:14" x14ac:dyDescent="0.2">
      <c r="C31" s="208" t="s">
        <v>301</v>
      </c>
      <c r="D31" s="158">
        <v>0.39673999999999998</v>
      </c>
      <c r="E31" s="230">
        <f>ROUND(D31*D$9,2)</f>
        <v>25.39</v>
      </c>
      <c r="F31" s="239"/>
      <c r="G31" s="241">
        <f>$D$31</f>
        <v>0.39673999999999998</v>
      </c>
      <c r="H31" s="230">
        <f>ROUND(G31*G$9,2)</f>
        <v>25.39</v>
      </c>
      <c r="J31" s="241">
        <f>$D$31</f>
        <v>0.39673999999999998</v>
      </c>
      <c r="K31" s="230">
        <f>ROUND(J31*J$9,2)</f>
        <v>25.39</v>
      </c>
      <c r="M31" s="241">
        <f>$D$31</f>
        <v>0.39673999999999998</v>
      </c>
      <c r="N31" s="230">
        <f>ROUND(M31*M$9,2)</f>
        <v>25.39</v>
      </c>
    </row>
    <row r="32" spans="2:14" x14ac:dyDescent="0.2">
      <c r="D32" s="245"/>
      <c r="E32" s="230"/>
      <c r="F32" s="239"/>
      <c r="G32" s="240"/>
      <c r="H32" s="230"/>
      <c r="J32" s="240"/>
      <c r="K32" s="230"/>
      <c r="M32" s="240"/>
      <c r="N32" s="230"/>
    </row>
    <row r="33" spans="2:14" x14ac:dyDescent="0.2">
      <c r="C33" s="208" t="s">
        <v>300</v>
      </c>
      <c r="D33" s="238">
        <f>'Sch. 101'!$E$10</f>
        <v>0.55610999999999999</v>
      </c>
      <c r="E33" s="230"/>
      <c r="F33" s="239"/>
      <c r="G33" s="246">
        <f>'Sch. 101'!$F$10</f>
        <v>0.55332000000000003</v>
      </c>
      <c r="H33" s="230"/>
      <c r="J33" s="242">
        <f>$D$33</f>
        <v>0.55610999999999999</v>
      </c>
      <c r="K33" s="230"/>
      <c r="M33" s="246">
        <f>'Sch. 101'!$F$10</f>
        <v>0.55332000000000003</v>
      </c>
      <c r="N33" s="230"/>
    </row>
    <row r="34" spans="2:14" x14ac:dyDescent="0.2">
      <c r="C34" s="208" t="s">
        <v>299</v>
      </c>
      <c r="D34" s="158">
        <v>-0.20172999999999999</v>
      </c>
      <c r="E34" s="230"/>
      <c r="F34" s="239"/>
      <c r="G34" s="242">
        <f>$D$34</f>
        <v>-0.20172999999999999</v>
      </c>
      <c r="H34" s="230"/>
      <c r="J34" s="482">
        <v>-5.883E-2</v>
      </c>
      <c r="K34" s="230"/>
      <c r="M34" s="482">
        <v>-5.883E-2</v>
      </c>
      <c r="N34" s="230"/>
    </row>
    <row r="35" spans="2:14" x14ac:dyDescent="0.2">
      <c r="C35" s="208" t="s">
        <v>39</v>
      </c>
      <c r="D35" s="243">
        <f>SUM(D33:D34)</f>
        <v>0.35438000000000003</v>
      </c>
      <c r="E35" s="230">
        <f>ROUND(D35*D$9,2)</f>
        <v>22.68</v>
      </c>
      <c r="F35" s="239"/>
      <c r="G35" s="244">
        <f>SUM(G33:G34)</f>
        <v>0.35159000000000007</v>
      </c>
      <c r="H35" s="230">
        <f>ROUND(G35*G$9,2)</f>
        <v>22.5</v>
      </c>
      <c r="J35" s="244">
        <f>SUM(J33:J34)</f>
        <v>0.49728</v>
      </c>
      <c r="K35" s="230">
        <f>ROUND(J35*J$9,2)</f>
        <v>31.83</v>
      </c>
      <c r="M35" s="244">
        <f>SUM(M33:M34)</f>
        <v>0.49449000000000004</v>
      </c>
      <c r="N35" s="230">
        <f>ROUND(M35*M$9,2)</f>
        <v>31.65</v>
      </c>
    </row>
    <row r="36" spans="2:14" x14ac:dyDescent="0.2">
      <c r="C36" s="208" t="s">
        <v>298</v>
      </c>
      <c r="D36" s="243">
        <f>D29+D31+D35</f>
        <v>1.51695</v>
      </c>
      <c r="E36" s="247">
        <f>SUM(E29,E31,E35)</f>
        <v>97.080000000000013</v>
      </c>
      <c r="F36" s="248"/>
      <c r="G36" s="244">
        <f>G29+G31+G35</f>
        <v>1.5141600000000002</v>
      </c>
      <c r="H36" s="247">
        <f>SUM(H29,H31,H35)</f>
        <v>96.9</v>
      </c>
      <c r="J36" s="244">
        <f>J29+J31+J35</f>
        <v>1.65985</v>
      </c>
      <c r="K36" s="247">
        <f>SUM(K29,K31,K35)</f>
        <v>106.23</v>
      </c>
      <c r="M36" s="244">
        <f>M29+M31+M35</f>
        <v>1.6570600000000002</v>
      </c>
      <c r="N36" s="247">
        <f>SUM(N29,N31,N35)</f>
        <v>106.05000000000001</v>
      </c>
    </row>
    <row r="37" spans="2:14" x14ac:dyDescent="0.2">
      <c r="E37" s="230"/>
      <c r="H37" s="230"/>
      <c r="K37" s="230"/>
      <c r="N37" s="230"/>
    </row>
    <row r="38" spans="2:14" x14ac:dyDescent="0.2">
      <c r="B38" s="208" t="s">
        <v>297</v>
      </c>
      <c r="D38" s="221"/>
      <c r="E38" s="230">
        <f>E13+E15+E36</f>
        <v>91.110000000000014</v>
      </c>
      <c r="F38" s="236"/>
      <c r="G38" s="221"/>
      <c r="H38" s="230">
        <f>H13+H15+H36</f>
        <v>90.93</v>
      </c>
      <c r="J38" s="221"/>
      <c r="K38" s="230">
        <f>K13+K15+K36</f>
        <v>100.26</v>
      </c>
      <c r="M38" s="221"/>
      <c r="N38" s="230">
        <f>N13+N15+N36</f>
        <v>100.08000000000001</v>
      </c>
    </row>
    <row r="39" spans="2:14" x14ac:dyDescent="0.2">
      <c r="B39" s="208" t="s">
        <v>296</v>
      </c>
      <c r="D39" s="221"/>
      <c r="E39" s="230"/>
      <c r="F39" s="236"/>
      <c r="G39" s="221"/>
      <c r="H39" s="230">
        <f>H38-$E38</f>
        <v>-0.18000000000000682</v>
      </c>
      <c r="J39" s="221"/>
      <c r="K39" s="230">
        <f>K38-$E38</f>
        <v>9.1499999999999915</v>
      </c>
      <c r="M39" s="221"/>
      <c r="N39" s="230">
        <f>N38-$E38</f>
        <v>8.9699999999999989</v>
      </c>
    </row>
    <row r="40" spans="2:14" x14ac:dyDescent="0.2">
      <c r="B40" s="208" t="s">
        <v>295</v>
      </c>
      <c r="D40" s="249"/>
      <c r="E40" s="249"/>
      <c r="F40" s="250"/>
      <c r="G40" s="249"/>
      <c r="H40" s="209">
        <f>H39/$E38</f>
        <v>-1.9756338491933572E-3</v>
      </c>
      <c r="J40" s="249"/>
      <c r="K40" s="209">
        <f>K39/$E38</f>
        <v>0.10042805400065843</v>
      </c>
      <c r="M40" s="249"/>
      <c r="N40" s="209">
        <f>N39/$E38</f>
        <v>9.8452420151465228E-2</v>
      </c>
    </row>
    <row r="41" spans="2:14" x14ac:dyDescent="0.2">
      <c r="E41" s="230"/>
    </row>
    <row r="42" spans="2:14" x14ac:dyDescent="0.2">
      <c r="B42" s="208" t="s">
        <v>294</v>
      </c>
      <c r="D42" s="240">
        <f>D29+D31</f>
        <v>1.1625700000000001</v>
      </c>
      <c r="E42" s="230"/>
      <c r="F42" s="248"/>
      <c r="G42" s="240">
        <f>G29+G31</f>
        <v>1.1625700000000001</v>
      </c>
      <c r="J42" s="240">
        <f>J29+J31</f>
        <v>1.1625700000000001</v>
      </c>
      <c r="M42" s="240">
        <f>M29+M31</f>
        <v>1.1625700000000001</v>
      </c>
    </row>
    <row r="44" spans="2:14" x14ac:dyDescent="0.2">
      <c r="B44" s="251" t="s">
        <v>361</v>
      </c>
      <c r="D44" s="251"/>
      <c r="E44" s="251"/>
      <c r="F44" s="252"/>
      <c r="G44" s="252"/>
      <c r="H44" s="252"/>
    </row>
    <row r="49" ht="14.25" customHeight="1" x14ac:dyDescent="0.2"/>
  </sheetData>
  <printOptions horizontalCentered="1"/>
  <pageMargins left="0.7" right="0.7" top="0.75" bottom="0.75" header="0.3" footer="0.3"/>
  <pageSetup scale="89" orientation="landscape" blackAndWhite="1" r:id="rId1"/>
  <headerFooter alignWithMargins="0">
    <oddFooter>&amp;L&amp;F  
&amp;A&amp;RPage# &amp;P of &amp;N</oddFooter>
  </headerFooter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zoomScaleNormal="100" workbookViewId="0">
      <pane ySplit="8" topLeftCell="A9" activePane="bottomLeft" state="frozen"/>
      <selection activeCell="P40" sqref="P40"/>
      <selection pane="bottomLeft" activeCell="F31" sqref="F31"/>
    </sheetView>
  </sheetViews>
  <sheetFormatPr defaultColWidth="8.7109375" defaultRowHeight="11.25" x14ac:dyDescent="0.2"/>
  <cols>
    <col min="1" max="1" width="3.28515625" style="184" customWidth="1"/>
    <col min="2" max="2" width="38.7109375" style="184" customWidth="1"/>
    <col min="3" max="3" width="9.140625" style="184" bestFit="1" customWidth="1"/>
    <col min="4" max="4" width="18.5703125" style="184" bestFit="1" customWidth="1"/>
    <col min="5" max="6" width="13.7109375" style="184" customWidth="1"/>
    <col min="7" max="8" width="14.42578125" style="184" customWidth="1"/>
    <col min="9" max="9" width="15.28515625" style="184" bestFit="1" customWidth="1"/>
    <col min="10" max="10" width="7.85546875" style="184" bestFit="1" customWidth="1"/>
    <col min="11" max="11" width="8.7109375" style="184"/>
    <col min="12" max="12" width="12.28515625" style="184" bestFit="1" customWidth="1"/>
    <col min="13" max="16384" width="8.7109375" style="184"/>
  </cols>
  <sheetData>
    <row r="1" spans="1:12" s="208" customFormat="1" ht="13.5" customHeight="1" x14ac:dyDescent="0.2">
      <c r="A1" s="540" t="s">
        <v>11</v>
      </c>
      <c r="B1" s="540"/>
      <c r="C1" s="540"/>
      <c r="D1" s="540"/>
      <c r="E1" s="540"/>
      <c r="F1" s="540"/>
      <c r="G1" s="540"/>
      <c r="H1" s="540"/>
      <c r="I1" s="540"/>
      <c r="J1" s="540"/>
      <c r="K1" s="182"/>
    </row>
    <row r="2" spans="1:12" s="208" customFormat="1" ht="13.5" customHeight="1" x14ac:dyDescent="0.2">
      <c r="A2" s="540" t="s">
        <v>341</v>
      </c>
      <c r="B2" s="540"/>
      <c r="C2" s="540"/>
      <c r="D2" s="540"/>
      <c r="E2" s="540"/>
      <c r="F2" s="540"/>
      <c r="G2" s="540"/>
      <c r="H2" s="540"/>
      <c r="I2" s="540"/>
      <c r="J2" s="540"/>
      <c r="K2" s="182"/>
    </row>
    <row r="3" spans="1:12" s="208" customFormat="1" ht="13.5" customHeight="1" x14ac:dyDescent="0.2">
      <c r="A3" s="540" t="s">
        <v>340</v>
      </c>
      <c r="B3" s="540"/>
      <c r="C3" s="540"/>
      <c r="D3" s="540"/>
      <c r="E3" s="540"/>
      <c r="F3" s="540"/>
      <c r="G3" s="540"/>
      <c r="H3" s="540"/>
      <c r="I3" s="540"/>
      <c r="J3" s="540"/>
      <c r="K3" s="182"/>
    </row>
    <row r="4" spans="1:12" s="208" customFormat="1" ht="13.5" customHeight="1" x14ac:dyDescent="0.2">
      <c r="A4" s="541" t="s">
        <v>199</v>
      </c>
      <c r="B4" s="541"/>
      <c r="C4" s="541"/>
      <c r="D4" s="541"/>
      <c r="E4" s="541"/>
      <c r="F4" s="541"/>
      <c r="G4" s="541"/>
      <c r="H4" s="541"/>
      <c r="I4" s="541"/>
      <c r="J4" s="541"/>
      <c r="K4" s="182"/>
    </row>
    <row r="5" spans="1:12" x14ac:dyDescent="0.2">
      <c r="E5" s="185"/>
      <c r="F5" s="185"/>
    </row>
    <row r="6" spans="1:12" x14ac:dyDescent="0.2">
      <c r="B6" s="186"/>
      <c r="C6" s="186"/>
      <c r="D6" s="186" t="s">
        <v>291</v>
      </c>
      <c r="E6" s="186" t="s">
        <v>339</v>
      </c>
      <c r="F6" s="186" t="s">
        <v>338</v>
      </c>
      <c r="G6" s="186" t="s">
        <v>291</v>
      </c>
      <c r="H6" s="186" t="s">
        <v>291</v>
      </c>
      <c r="I6" s="186" t="s">
        <v>336</v>
      </c>
      <c r="J6" s="186"/>
    </row>
    <row r="7" spans="1:12" x14ac:dyDescent="0.2">
      <c r="B7" s="186"/>
      <c r="C7" s="186"/>
      <c r="D7" s="186" t="s">
        <v>337</v>
      </c>
      <c r="E7" s="186" t="s">
        <v>336</v>
      </c>
      <c r="F7" s="186" t="s">
        <v>336</v>
      </c>
      <c r="G7" s="186" t="s">
        <v>261</v>
      </c>
      <c r="H7" s="186" t="s">
        <v>261</v>
      </c>
      <c r="I7" s="186" t="s">
        <v>261</v>
      </c>
      <c r="J7" s="186" t="s">
        <v>23</v>
      </c>
    </row>
    <row r="8" spans="1:12" x14ac:dyDescent="0.2">
      <c r="A8" s="253"/>
      <c r="B8" s="227" t="s">
        <v>20</v>
      </c>
      <c r="C8" s="227" t="s">
        <v>83</v>
      </c>
      <c r="D8" s="254" t="str">
        <f>'Rate Impacts Sch 101_106'!$V$6</f>
        <v>12ME Oct. 2025</v>
      </c>
      <c r="E8" s="188" t="s">
        <v>319</v>
      </c>
      <c r="F8" s="188" t="s">
        <v>319</v>
      </c>
      <c r="G8" s="188" t="s">
        <v>322</v>
      </c>
      <c r="H8" s="188" t="s">
        <v>260</v>
      </c>
      <c r="I8" s="188" t="s">
        <v>259</v>
      </c>
      <c r="J8" s="188" t="s">
        <v>259</v>
      </c>
    </row>
    <row r="9" spans="1:12" x14ac:dyDescent="0.2">
      <c r="A9" s="255" t="s">
        <v>335</v>
      </c>
      <c r="B9" s="208"/>
      <c r="C9" s="255"/>
      <c r="D9" s="186"/>
      <c r="E9" s="186"/>
      <c r="F9" s="186"/>
      <c r="G9" s="191"/>
      <c r="H9" s="191"/>
      <c r="I9" s="186"/>
      <c r="J9" s="186"/>
    </row>
    <row r="10" spans="1:12" x14ac:dyDescent="0.2">
      <c r="A10" s="208"/>
      <c r="B10" s="220" t="s">
        <v>332</v>
      </c>
      <c r="C10" s="220" t="s">
        <v>287</v>
      </c>
      <c r="D10" s="481">
        <v>563377415</v>
      </c>
      <c r="E10" s="256">
        <v>0.55610999999999999</v>
      </c>
      <c r="F10" s="257">
        <f>'Rates Summary '!$E$53</f>
        <v>0.55332000000000003</v>
      </c>
      <c r="G10" s="207">
        <f>ROUND(E10*D10,2)</f>
        <v>313299814.25999999</v>
      </c>
      <c r="H10" s="207">
        <f>ROUND(F10*D10,2)</f>
        <v>311727991.26999998</v>
      </c>
      <c r="I10" s="194">
        <f>H10-G10</f>
        <v>-1571822.9900000095</v>
      </c>
      <c r="J10" s="258">
        <f>I10/G10</f>
        <v>-5.0169930477379455E-3</v>
      </c>
      <c r="L10" s="194"/>
    </row>
    <row r="11" spans="1:12" x14ac:dyDescent="0.2">
      <c r="A11" s="208"/>
      <c r="B11" s="259"/>
      <c r="C11" s="259"/>
      <c r="D11" s="481"/>
      <c r="E11" s="256"/>
      <c r="F11" s="260"/>
      <c r="G11" s="207"/>
      <c r="H11" s="207"/>
      <c r="I11" s="194"/>
      <c r="J11" s="258"/>
    </row>
    <row r="12" spans="1:12" x14ac:dyDescent="0.2">
      <c r="A12" s="261" t="s">
        <v>334</v>
      </c>
      <c r="B12" s="208"/>
      <c r="C12" s="255"/>
      <c r="D12" s="481"/>
      <c r="E12" s="256"/>
      <c r="F12" s="260"/>
      <c r="G12" s="207"/>
      <c r="H12" s="207"/>
      <c r="I12" s="194"/>
      <c r="J12" s="258"/>
    </row>
    <row r="13" spans="1:12" x14ac:dyDescent="0.2">
      <c r="A13" s="208"/>
      <c r="B13" s="220" t="s">
        <v>332</v>
      </c>
      <c r="C13" s="262" t="s">
        <v>287</v>
      </c>
      <c r="D13" s="483">
        <v>6156</v>
      </c>
      <c r="E13" s="256">
        <v>0.55610999999999999</v>
      </c>
      <c r="F13" s="260">
        <f>'Rates Summary '!$F$53</f>
        <v>0.55332000000000003</v>
      </c>
      <c r="G13" s="207">
        <f>ROUND(E13*D13,2)</f>
        <v>3423.41</v>
      </c>
      <c r="H13" s="207">
        <f>ROUND(F13*D13,2)</f>
        <v>3406.24</v>
      </c>
      <c r="I13" s="194">
        <f>H13-G13</f>
        <v>-17.170000000000073</v>
      </c>
      <c r="J13" s="258">
        <f>I13/G13</f>
        <v>-5.0154670343312878E-3</v>
      </c>
      <c r="L13" s="194"/>
    </row>
    <row r="14" spans="1:12" x14ac:dyDescent="0.2">
      <c r="A14" s="208"/>
      <c r="D14" s="484"/>
      <c r="F14" s="263"/>
    </row>
    <row r="15" spans="1:12" x14ac:dyDescent="0.2">
      <c r="A15" s="255" t="s">
        <v>333</v>
      </c>
      <c r="B15" s="208"/>
      <c r="C15" s="259"/>
      <c r="D15" s="484"/>
      <c r="E15" s="256"/>
      <c r="F15" s="260"/>
      <c r="G15" s="207"/>
      <c r="H15" s="207"/>
      <c r="I15" s="194"/>
      <c r="J15" s="258"/>
    </row>
    <row r="16" spans="1:12" x14ac:dyDescent="0.2">
      <c r="A16" s="208"/>
      <c r="B16" s="220" t="s">
        <v>332</v>
      </c>
      <c r="C16" s="220" t="s">
        <v>287</v>
      </c>
      <c r="D16" s="481">
        <v>230116288</v>
      </c>
      <c r="E16" s="264">
        <v>0.54957999999999996</v>
      </c>
      <c r="F16" s="257">
        <f>'Rates Summary '!$G$53</f>
        <v>0.54690000000000005</v>
      </c>
      <c r="G16" s="207">
        <f>ROUND(E16*D16,2)</f>
        <v>126467309.56</v>
      </c>
      <c r="H16" s="207">
        <f>ROUND(F16*D16,2)</f>
        <v>125850597.91</v>
      </c>
      <c r="I16" s="194">
        <f>H16-G16</f>
        <v>-616711.65000000596</v>
      </c>
      <c r="J16" s="258">
        <f>I16/G16</f>
        <v>-4.8764510935327436E-3</v>
      </c>
      <c r="L16" s="194"/>
    </row>
    <row r="17" spans="1:13" x14ac:dyDescent="0.2">
      <c r="A17" s="208"/>
      <c r="B17" s="220"/>
      <c r="C17" s="220"/>
      <c r="D17" s="484"/>
      <c r="E17" s="256"/>
      <c r="F17" s="260"/>
      <c r="G17" s="207"/>
      <c r="H17" s="207"/>
      <c r="I17" s="194"/>
      <c r="J17" s="258"/>
    </row>
    <row r="18" spans="1:13" x14ac:dyDescent="0.2">
      <c r="A18" s="261" t="s">
        <v>331</v>
      </c>
      <c r="B18" s="208"/>
      <c r="C18" s="259"/>
      <c r="D18" s="484"/>
      <c r="E18" s="256"/>
      <c r="F18" s="260"/>
      <c r="G18" s="207"/>
      <c r="H18" s="207"/>
      <c r="I18" s="194"/>
      <c r="J18" s="258"/>
    </row>
    <row r="19" spans="1:13" x14ac:dyDescent="0.2">
      <c r="A19" s="208"/>
      <c r="B19" s="265" t="s">
        <v>327</v>
      </c>
      <c r="C19" s="220" t="s">
        <v>287</v>
      </c>
      <c r="D19" s="481">
        <v>63059025</v>
      </c>
      <c r="E19" s="264">
        <v>0.44874000000000003</v>
      </c>
      <c r="F19" s="257">
        <f>'Rates Summary '!$H$53</f>
        <v>0.44327</v>
      </c>
      <c r="G19" s="207">
        <f>ROUND(E19*D19,2)</f>
        <v>28297106.879999999</v>
      </c>
      <c r="H19" s="207">
        <f>ROUND(F19*D19,2)</f>
        <v>27952174.010000002</v>
      </c>
      <c r="I19" s="194">
        <f>H19-G19</f>
        <v>-344932.86999999732</v>
      </c>
      <c r="J19" s="258">
        <f>I19/G19</f>
        <v>-1.2189686792461142E-2</v>
      </c>
    </row>
    <row r="20" spans="1:13" x14ac:dyDescent="0.2">
      <c r="A20" s="208"/>
      <c r="B20" s="265" t="s">
        <v>326</v>
      </c>
      <c r="C20" s="220" t="s">
        <v>2</v>
      </c>
      <c r="D20" s="481">
        <v>5210928</v>
      </c>
      <c r="E20" s="266">
        <v>1.05</v>
      </c>
      <c r="F20" s="267">
        <f>'Rates Summary '!$H$47</f>
        <v>1.05</v>
      </c>
      <c r="G20" s="207">
        <f>ROUND(E20*D20,2)</f>
        <v>5471474.4000000004</v>
      </c>
      <c r="H20" s="207">
        <f>ROUND(F20*D20,2)</f>
        <v>5471474.4000000004</v>
      </c>
      <c r="I20" s="194">
        <f>H20-G20</f>
        <v>0</v>
      </c>
      <c r="J20" s="258">
        <f>I20/G20</f>
        <v>0</v>
      </c>
    </row>
    <row r="21" spans="1:13" x14ac:dyDescent="0.2">
      <c r="A21" s="208"/>
      <c r="B21" s="265" t="s">
        <v>10</v>
      </c>
      <c r="C21" s="220"/>
      <c r="D21" s="484"/>
      <c r="E21" s="256"/>
      <c r="F21" s="260"/>
      <c r="G21" s="201">
        <f>SUM(G19:G20)</f>
        <v>33768581.280000001</v>
      </c>
      <c r="H21" s="201">
        <f>SUM(H19:H20)</f>
        <v>33423648.410000004</v>
      </c>
      <c r="I21" s="201">
        <f>SUM(I19:I20)</f>
        <v>-344932.86999999732</v>
      </c>
      <c r="J21" s="268">
        <f>I21/G21</f>
        <v>-1.0214609466116052E-2</v>
      </c>
      <c r="L21" s="194"/>
    </row>
    <row r="22" spans="1:13" x14ac:dyDescent="0.2">
      <c r="A22" s="208"/>
      <c r="B22" s="265"/>
      <c r="C22" s="220"/>
      <c r="D22" s="484"/>
      <c r="E22" s="256"/>
      <c r="F22" s="260"/>
      <c r="G22" s="207"/>
      <c r="H22" s="207"/>
      <c r="I22" s="194"/>
      <c r="J22" s="258"/>
      <c r="L22" s="194"/>
    </row>
    <row r="23" spans="1:13" x14ac:dyDescent="0.2">
      <c r="A23" s="255" t="s">
        <v>330</v>
      </c>
      <c r="B23" s="208"/>
      <c r="C23" s="259"/>
      <c r="D23" s="484"/>
      <c r="E23" s="193"/>
      <c r="F23" s="260"/>
      <c r="G23" s="207"/>
      <c r="H23" s="207"/>
      <c r="I23" s="194"/>
      <c r="J23" s="269"/>
    </row>
    <row r="24" spans="1:13" s="208" customFormat="1" x14ac:dyDescent="0.2">
      <c r="B24" s="265" t="s">
        <v>327</v>
      </c>
      <c r="C24" s="220" t="s">
        <v>287</v>
      </c>
      <c r="D24" s="481">
        <v>17533752</v>
      </c>
      <c r="E24" s="264">
        <v>0.49014000000000002</v>
      </c>
      <c r="F24" s="257">
        <f>'Rates Summary '!$I$53</f>
        <v>0.48787000000000003</v>
      </c>
      <c r="G24" s="207">
        <f>ROUND(E24*D24,2)</f>
        <v>8593993.2100000009</v>
      </c>
      <c r="H24" s="207">
        <f>ROUND(F24*D24,2)</f>
        <v>8554191.5899999999</v>
      </c>
      <c r="I24" s="194">
        <f>H24-G24</f>
        <v>-39801.620000001043</v>
      </c>
      <c r="J24" s="258">
        <f>I24/G24</f>
        <v>-4.6313301660149946E-3</v>
      </c>
    </row>
    <row r="25" spans="1:13" s="208" customFormat="1" x14ac:dyDescent="0.2">
      <c r="B25" s="265" t="s">
        <v>326</v>
      </c>
      <c r="C25" s="220" t="s">
        <v>2</v>
      </c>
      <c r="D25" s="481">
        <v>141420</v>
      </c>
      <c r="E25" s="266">
        <v>1.05</v>
      </c>
      <c r="F25" s="267">
        <f>'Rates Summary '!$I$47</f>
        <v>1.05</v>
      </c>
      <c r="G25" s="207">
        <f>ROUND(E25*D25,2)</f>
        <v>148491</v>
      </c>
      <c r="H25" s="207">
        <f>ROUND(F25*D25,2)</f>
        <v>148491</v>
      </c>
      <c r="I25" s="194">
        <f>H25-G25</f>
        <v>0</v>
      </c>
      <c r="J25" s="258">
        <f>I25/G25</f>
        <v>0</v>
      </c>
      <c r="K25" s="209"/>
      <c r="L25" s="270"/>
      <c r="M25" s="271"/>
    </row>
    <row r="26" spans="1:13" s="208" customFormat="1" x14ac:dyDescent="0.2">
      <c r="B26" s="259" t="s">
        <v>10</v>
      </c>
      <c r="C26" s="259"/>
      <c r="D26" s="484"/>
      <c r="E26" s="219"/>
      <c r="F26" s="272"/>
      <c r="G26" s="201">
        <f>SUM(G24:G25)</f>
        <v>8742484.2100000009</v>
      </c>
      <c r="H26" s="201">
        <f>SUM(H24:H25)</f>
        <v>8702682.5899999999</v>
      </c>
      <c r="I26" s="201">
        <f>SUM(I24:I25)</f>
        <v>-39801.620000001043</v>
      </c>
      <c r="J26" s="268">
        <f>I26/G26</f>
        <v>-4.5526670731042751E-3</v>
      </c>
      <c r="K26" s="209"/>
      <c r="L26" s="195"/>
    </row>
    <row r="27" spans="1:13" s="208" customFormat="1" x14ac:dyDescent="0.2">
      <c r="B27" s="259"/>
      <c r="C27" s="259"/>
      <c r="D27" s="484"/>
      <c r="E27" s="219"/>
      <c r="F27" s="272"/>
      <c r="G27" s="207"/>
      <c r="H27" s="207"/>
      <c r="I27" s="194"/>
      <c r="J27" s="258"/>
      <c r="K27" s="209"/>
      <c r="L27" s="195"/>
    </row>
    <row r="28" spans="1:13" x14ac:dyDescent="0.2">
      <c r="A28" s="255" t="s">
        <v>329</v>
      </c>
      <c r="B28" s="208"/>
      <c r="C28" s="259"/>
      <c r="D28" s="484"/>
      <c r="F28" s="263"/>
      <c r="G28" s="273"/>
      <c r="H28" s="273"/>
      <c r="I28" s="194"/>
    </row>
    <row r="29" spans="1:13" x14ac:dyDescent="0.2">
      <c r="A29" s="208"/>
      <c r="B29" s="265" t="s">
        <v>327</v>
      </c>
      <c r="C29" s="220" t="s">
        <v>287</v>
      </c>
      <c r="D29" s="481">
        <v>5007638</v>
      </c>
      <c r="E29" s="264">
        <v>0.49845</v>
      </c>
      <c r="F29" s="257">
        <f>'Rates Summary '!$J$53</f>
        <v>0.49709999999999999</v>
      </c>
      <c r="G29" s="207">
        <f>ROUND(E29*D29,2)</f>
        <v>2496057.16</v>
      </c>
      <c r="H29" s="207">
        <f>ROUND(F29*D29,2)</f>
        <v>2489296.85</v>
      </c>
      <c r="I29" s="194">
        <f>H29-G29</f>
        <v>-6760.3100000000559</v>
      </c>
      <c r="J29" s="258">
        <f>I29/G29</f>
        <v>-2.708395508058019E-3</v>
      </c>
    </row>
    <row r="30" spans="1:13" x14ac:dyDescent="0.2">
      <c r="A30" s="208"/>
      <c r="B30" s="265" t="s">
        <v>326</v>
      </c>
      <c r="C30" s="220" t="s">
        <v>2</v>
      </c>
      <c r="D30" s="481">
        <v>31884</v>
      </c>
      <c r="E30" s="266">
        <v>1.05</v>
      </c>
      <c r="F30" s="267">
        <f>'Rates Summary '!$J$47</f>
        <v>1.05</v>
      </c>
      <c r="G30" s="207">
        <f>ROUND(E30*D30,2)</f>
        <v>33478.199999999997</v>
      </c>
      <c r="H30" s="207">
        <f>ROUND(F30*D30,2)</f>
        <v>33478.199999999997</v>
      </c>
      <c r="I30" s="194">
        <f>H30-G30</f>
        <v>0</v>
      </c>
      <c r="J30" s="258">
        <f>I30/G30</f>
        <v>0</v>
      </c>
    </row>
    <row r="31" spans="1:13" x14ac:dyDescent="0.2">
      <c r="A31" s="220"/>
      <c r="B31" s="259" t="s">
        <v>10</v>
      </c>
      <c r="C31" s="259"/>
      <c r="D31" s="484"/>
      <c r="F31" s="263"/>
      <c r="G31" s="201">
        <f>SUM(G29:G30)</f>
        <v>2529535.3600000003</v>
      </c>
      <c r="H31" s="201">
        <f>SUM(H29:H30)</f>
        <v>2522775.0500000003</v>
      </c>
      <c r="I31" s="201">
        <f>SUM(I29:I30)</f>
        <v>-6760.3100000000559</v>
      </c>
      <c r="J31" s="268">
        <f>I31/G31</f>
        <v>-2.672550108174829E-3</v>
      </c>
      <c r="L31" s="194"/>
    </row>
    <row r="32" spans="1:13" x14ac:dyDescent="0.2">
      <c r="A32" s="220"/>
      <c r="B32" s="259"/>
      <c r="C32" s="259"/>
      <c r="D32" s="484"/>
      <c r="F32" s="263"/>
      <c r="G32" s="207"/>
      <c r="H32" s="207"/>
      <c r="I32" s="194"/>
      <c r="J32" s="258"/>
      <c r="L32" s="194"/>
    </row>
    <row r="33" spans="1:12" x14ac:dyDescent="0.2">
      <c r="A33" s="255" t="s">
        <v>328</v>
      </c>
      <c r="B33" s="208"/>
      <c r="C33" s="259"/>
      <c r="D33" s="484"/>
      <c r="F33" s="263"/>
      <c r="G33" s="274"/>
      <c r="H33" s="274"/>
      <c r="I33" s="194"/>
    </row>
    <row r="34" spans="1:12" x14ac:dyDescent="0.2">
      <c r="A34" s="208"/>
      <c r="B34" s="265" t="s">
        <v>327</v>
      </c>
      <c r="C34" s="220" t="s">
        <v>287</v>
      </c>
      <c r="D34" s="481">
        <v>18486702</v>
      </c>
      <c r="E34" s="264">
        <v>0.49234</v>
      </c>
      <c r="F34" s="257">
        <f>'Rates Summary '!$K$53</f>
        <v>0.49060999999999999</v>
      </c>
      <c r="G34" s="207">
        <f>ROUND(E34*D34,2)</f>
        <v>9101742.8599999994</v>
      </c>
      <c r="H34" s="207">
        <f>ROUND(F34*D34,2)</f>
        <v>9069760.8699999992</v>
      </c>
      <c r="I34" s="194">
        <f>H34-G34</f>
        <v>-31981.990000000224</v>
      </c>
      <c r="J34" s="258">
        <f>I34/G34</f>
        <v>-3.5138314157998774E-3</v>
      </c>
    </row>
    <row r="35" spans="1:12" x14ac:dyDescent="0.2">
      <c r="A35" s="208"/>
      <c r="B35" s="265" t="s">
        <v>326</v>
      </c>
      <c r="C35" s="220" t="s">
        <v>2</v>
      </c>
      <c r="D35" s="481">
        <v>0</v>
      </c>
      <c r="E35" s="266">
        <v>1.05</v>
      </c>
      <c r="F35" s="267">
        <f>'Rates Summary '!$K$47</f>
        <v>1.05</v>
      </c>
      <c r="G35" s="207">
        <f>ROUND(E35*D35,2)</f>
        <v>0</v>
      </c>
      <c r="H35" s="207">
        <f>ROUND(F35*D35,2)</f>
        <v>0</v>
      </c>
      <c r="I35" s="194">
        <f>H35-G35</f>
        <v>0</v>
      </c>
      <c r="J35" s="258">
        <f>IFERROR(I35/G35,0)</f>
        <v>0</v>
      </c>
    </row>
    <row r="36" spans="1:12" x14ac:dyDescent="0.2">
      <c r="B36" s="265" t="s">
        <v>10</v>
      </c>
      <c r="D36" s="484"/>
      <c r="G36" s="201">
        <f>SUM(G34:G35)</f>
        <v>9101742.8599999994</v>
      </c>
      <c r="H36" s="201">
        <f>SUM(H34:H35)</f>
        <v>9069760.8699999992</v>
      </c>
      <c r="I36" s="201">
        <f>SUM(I34:I35)</f>
        <v>-31981.990000000224</v>
      </c>
      <c r="J36" s="268">
        <f>I36/G36</f>
        <v>-3.5138314157998774E-3</v>
      </c>
      <c r="L36" s="194"/>
    </row>
    <row r="37" spans="1:12" x14ac:dyDescent="0.2">
      <c r="D37" s="263"/>
      <c r="G37" s="207"/>
      <c r="H37" s="207"/>
      <c r="I37" s="194"/>
      <c r="J37" s="258"/>
      <c r="L37" s="194"/>
    </row>
    <row r="38" spans="1:12" x14ac:dyDescent="0.2">
      <c r="A38" s="275" t="s">
        <v>10</v>
      </c>
      <c r="G38" s="200">
        <f>G10+G13+G16+G21+G26+G31+G36</f>
        <v>493912890.94</v>
      </c>
      <c r="H38" s="200">
        <f>H10+H13+H16+H21+H26+H31+H36</f>
        <v>491300862.33999997</v>
      </c>
      <c r="I38" s="200">
        <f>I10+I13+I16+I21+I26+I31+I36</f>
        <v>-2612028.6000000141</v>
      </c>
      <c r="J38" s="268">
        <f>I38/G38</f>
        <v>-5.2884398198817621E-3</v>
      </c>
    </row>
    <row r="39" spans="1:12" x14ac:dyDescent="0.2">
      <c r="B39" s="184" t="s">
        <v>287</v>
      </c>
      <c r="D39" s="203">
        <f>SUM(D10,D13,D16,D19,D24,D29,D34)</f>
        <v>897586976</v>
      </c>
    </row>
    <row r="40" spans="1:12" x14ac:dyDescent="0.2">
      <c r="B40" s="184" t="s">
        <v>2</v>
      </c>
      <c r="D40" s="203">
        <f>SUM(D20,D25,D30,D35)</f>
        <v>5384232</v>
      </c>
      <c r="I40" s="194"/>
    </row>
    <row r="41" spans="1:12" x14ac:dyDescent="0.2">
      <c r="I41" s="194"/>
    </row>
    <row r="42" spans="1:12" x14ac:dyDescent="0.2">
      <c r="G42" s="276"/>
      <c r="H42" s="276"/>
    </row>
  </sheetData>
  <mergeCells count="4">
    <mergeCell ref="A1:J1"/>
    <mergeCell ref="A3:J3"/>
    <mergeCell ref="A4:J4"/>
    <mergeCell ref="A2:J2"/>
  </mergeCells>
  <printOptions horizontalCentered="1"/>
  <pageMargins left="0.7" right="0.7" top="0.75" bottom="0.75" header="0.3" footer="0.3"/>
  <pageSetup scale="83" orientation="landscape" blackAndWhite="1" r:id="rId1"/>
  <headerFooter>
    <oddFooter>&amp;L&amp;F 
&amp;A&amp;RPage# &amp;P of &amp;N</oddFooter>
  </headerFooter>
  <customProperties>
    <customPr name="_pios_id" r:id="rId2"/>
    <customPr name="EpmWorksheetKeyString_GUID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Normal="100" workbookViewId="0">
      <selection activeCell="D42" sqref="D42"/>
    </sheetView>
  </sheetViews>
  <sheetFormatPr defaultRowHeight="11.25" x14ac:dyDescent="0.2"/>
  <cols>
    <col min="1" max="1" width="4.7109375" style="466" bestFit="1" customWidth="1"/>
    <col min="2" max="2" width="37.85546875" style="466" customWidth="1"/>
    <col min="3" max="3" width="9.140625" style="466" bestFit="1" customWidth="1"/>
    <col min="4" max="5" width="16.28515625" style="466" bestFit="1" customWidth="1"/>
    <col min="6" max="6" width="10.5703125" style="466" bestFit="1" customWidth="1"/>
    <col min="7" max="7" width="2.5703125" style="466" customWidth="1"/>
    <col min="8" max="9" width="16.28515625" style="466" bestFit="1" customWidth="1"/>
    <col min="10" max="10" width="10.5703125" style="466" customWidth="1"/>
    <col min="11" max="11" width="2.5703125" style="466" customWidth="1"/>
    <col min="12" max="12" width="9.42578125" style="466" customWidth="1"/>
    <col min="13" max="14" width="9.140625" style="466" customWidth="1"/>
    <col min="15" max="16384" width="9.140625" style="466"/>
  </cols>
  <sheetData>
    <row r="1" spans="1:14" x14ac:dyDescent="0.2">
      <c r="A1" s="476" t="s">
        <v>11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4" x14ac:dyDescent="0.2">
      <c r="A2" s="476" t="s">
        <v>293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4" x14ac:dyDescent="0.2">
      <c r="A3" s="477" t="s">
        <v>362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14" x14ac:dyDescent="0.2">
      <c r="A4" s="477" t="s">
        <v>199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1:14" x14ac:dyDescent="0.2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</row>
    <row r="6" spans="1:14" x14ac:dyDescent="0.2">
      <c r="D6" s="542" t="s">
        <v>371</v>
      </c>
      <c r="E6" s="542"/>
      <c r="F6" s="542"/>
      <c r="G6" s="185"/>
      <c r="H6" s="542" t="s">
        <v>260</v>
      </c>
      <c r="I6" s="542"/>
      <c r="J6" s="542"/>
    </row>
    <row r="7" spans="1:14" x14ac:dyDescent="0.2">
      <c r="B7" s="186"/>
      <c r="C7" s="186"/>
      <c r="D7" s="186" t="s">
        <v>291</v>
      </c>
      <c r="E7" s="186" t="s">
        <v>291</v>
      </c>
      <c r="F7" s="186"/>
      <c r="G7" s="186"/>
      <c r="H7" s="186" t="s">
        <v>291</v>
      </c>
      <c r="I7" s="186" t="s">
        <v>291</v>
      </c>
      <c r="J7" s="186"/>
      <c r="K7" s="186"/>
      <c r="L7" s="186"/>
    </row>
    <row r="8" spans="1:14" x14ac:dyDescent="0.2">
      <c r="A8" s="466" t="s">
        <v>13</v>
      </c>
      <c r="B8" s="186"/>
      <c r="C8" s="186" t="s">
        <v>283</v>
      </c>
      <c r="D8" s="186" t="s">
        <v>337</v>
      </c>
      <c r="E8" s="186" t="s">
        <v>261</v>
      </c>
      <c r="F8" s="186" t="s">
        <v>363</v>
      </c>
      <c r="G8" s="186"/>
      <c r="H8" s="186" t="s">
        <v>337</v>
      </c>
      <c r="I8" s="186" t="s">
        <v>261</v>
      </c>
      <c r="J8" s="186" t="s">
        <v>363</v>
      </c>
      <c r="K8" s="186"/>
      <c r="L8" s="186" t="s">
        <v>10</v>
      </c>
    </row>
    <row r="9" spans="1:14" x14ac:dyDescent="0.2">
      <c r="A9" s="466" t="s">
        <v>266</v>
      </c>
      <c r="B9" s="186" t="s">
        <v>265</v>
      </c>
      <c r="C9" s="186" t="s">
        <v>264</v>
      </c>
      <c r="D9" s="499" t="s">
        <v>364</v>
      </c>
      <c r="E9" s="398" t="str">
        <f>D9</f>
        <v>Nov. 2024 - Oct. 2025</v>
      </c>
      <c r="F9" s="186" t="s">
        <v>365</v>
      </c>
      <c r="G9" s="186"/>
      <c r="H9" s="398" t="str">
        <f>D9</f>
        <v>Nov. 2024 - Oct. 2025</v>
      </c>
      <c r="I9" s="398" t="str">
        <f>D9</f>
        <v>Nov. 2024 - Oct. 2025</v>
      </c>
      <c r="J9" s="186" t="s">
        <v>365</v>
      </c>
      <c r="K9" s="186"/>
      <c r="L9" s="186" t="s">
        <v>366</v>
      </c>
      <c r="N9" s="500" t="s">
        <v>206</v>
      </c>
    </row>
    <row r="10" spans="1:14" x14ac:dyDescent="0.2">
      <c r="A10" s="501"/>
      <c r="B10" s="502" t="s">
        <v>32</v>
      </c>
      <c r="C10" s="502" t="s">
        <v>33</v>
      </c>
      <c r="D10" s="502" t="s">
        <v>34</v>
      </c>
      <c r="E10" s="502" t="s">
        <v>60</v>
      </c>
      <c r="F10" s="503" t="s">
        <v>367</v>
      </c>
      <c r="G10" s="502"/>
      <c r="H10" s="502" t="s">
        <v>81</v>
      </c>
      <c r="I10" s="502" t="s">
        <v>82</v>
      </c>
      <c r="J10" s="503" t="s">
        <v>368</v>
      </c>
      <c r="K10" s="503"/>
      <c r="L10" s="504" t="s">
        <v>369</v>
      </c>
    </row>
    <row r="11" spans="1:14" x14ac:dyDescent="0.2">
      <c r="A11" s="185">
        <v>1</v>
      </c>
      <c r="B11" s="466" t="s">
        <v>14</v>
      </c>
      <c r="C11" s="185" t="s">
        <v>237</v>
      </c>
      <c r="D11" s="505">
        <v>563377415</v>
      </c>
      <c r="E11" s="506">
        <v>776495298.10756028</v>
      </c>
      <c r="F11" s="193">
        <f>E11/D11</f>
        <v>1.3782861673777964</v>
      </c>
      <c r="G11" s="193"/>
      <c r="H11" s="507">
        <f>D11</f>
        <v>563377415</v>
      </c>
      <c r="I11" s="506">
        <v>855430107.72756028</v>
      </c>
      <c r="J11" s="193">
        <f>I11/H11</f>
        <v>1.5183961673855177</v>
      </c>
      <c r="K11" s="508"/>
      <c r="L11" s="196">
        <f>(I11-E11)/E11</f>
        <v>0.10165523192783833</v>
      </c>
      <c r="N11" s="509">
        <v>0</v>
      </c>
    </row>
    <row r="12" spans="1:14" x14ac:dyDescent="0.2">
      <c r="A12" s="185">
        <f>A11+1</f>
        <v>2</v>
      </c>
      <c r="B12" s="466" t="s">
        <v>236</v>
      </c>
      <c r="C12" s="185">
        <v>16</v>
      </c>
      <c r="D12" s="505">
        <v>6156</v>
      </c>
      <c r="E12" s="506">
        <v>7873.3118504735558</v>
      </c>
      <c r="F12" s="193">
        <f t="shared" ref="F12:F24" si="0">E12/D12</f>
        <v>1.2789655377637354</v>
      </c>
      <c r="G12" s="193"/>
      <c r="H12" s="507">
        <f t="shared" ref="H12:H24" si="1">D12</f>
        <v>6156</v>
      </c>
      <c r="I12" s="506">
        <v>8735.8318504735562</v>
      </c>
      <c r="J12" s="193">
        <f t="shared" ref="J12:J24" si="2">I12/H12</f>
        <v>1.419075999102267</v>
      </c>
      <c r="K12" s="508"/>
      <c r="L12" s="196">
        <f t="shared" ref="L12:L24" si="3">(I12-E12)/E12</f>
        <v>0.10954983320622852</v>
      </c>
      <c r="N12" s="509">
        <v>0</v>
      </c>
    </row>
    <row r="13" spans="1:14" x14ac:dyDescent="0.2">
      <c r="A13" s="185">
        <f t="shared" ref="A13:A36" si="4">A12+1</f>
        <v>3</v>
      </c>
      <c r="B13" s="466" t="s">
        <v>235</v>
      </c>
      <c r="C13" s="185">
        <v>31</v>
      </c>
      <c r="D13" s="505">
        <v>230116288</v>
      </c>
      <c r="E13" s="506">
        <v>283278666.72472996</v>
      </c>
      <c r="F13" s="193">
        <f t="shared" si="0"/>
        <v>1.2310239713441318</v>
      </c>
      <c r="G13" s="193"/>
      <c r="H13" s="507">
        <f t="shared" si="1"/>
        <v>230116288</v>
      </c>
      <c r="I13" s="506">
        <v>315195795.87472993</v>
      </c>
      <c r="J13" s="193">
        <f t="shared" si="2"/>
        <v>1.3697239713632523</v>
      </c>
      <c r="K13" s="508"/>
      <c r="L13" s="196">
        <f t="shared" si="3"/>
        <v>0.11267042985984811</v>
      </c>
      <c r="N13" s="509">
        <v>0</v>
      </c>
    </row>
    <row r="14" spans="1:14" x14ac:dyDescent="0.2">
      <c r="A14" s="185">
        <f t="shared" si="4"/>
        <v>4</v>
      </c>
      <c r="B14" s="466" t="s">
        <v>234</v>
      </c>
      <c r="C14" s="185">
        <v>41</v>
      </c>
      <c r="D14" s="505">
        <v>63059025</v>
      </c>
      <c r="E14" s="506">
        <v>53191736.838337049</v>
      </c>
      <c r="F14" s="193">
        <f t="shared" si="0"/>
        <v>0.84352298244917434</v>
      </c>
      <c r="G14" s="193"/>
      <c r="H14" s="507">
        <f t="shared" si="1"/>
        <v>63059025</v>
      </c>
      <c r="I14" s="506">
        <v>61513636.36833705</v>
      </c>
      <c r="J14" s="193">
        <f t="shared" si="2"/>
        <v>0.97549298246106797</v>
      </c>
      <c r="K14" s="508"/>
      <c r="L14" s="196">
        <f t="shared" si="3"/>
        <v>0.15645098326629808</v>
      </c>
      <c r="N14" s="509">
        <v>0</v>
      </c>
    </row>
    <row r="15" spans="1:14" x14ac:dyDescent="0.2">
      <c r="A15" s="185">
        <f t="shared" si="4"/>
        <v>5</v>
      </c>
      <c r="B15" s="466" t="s">
        <v>38</v>
      </c>
      <c r="C15" s="185">
        <v>85</v>
      </c>
      <c r="D15" s="505">
        <v>17533752</v>
      </c>
      <c r="E15" s="506">
        <v>10941269.048114762</v>
      </c>
      <c r="F15" s="193">
        <f t="shared" si="0"/>
        <v>0.62401185143457949</v>
      </c>
      <c r="G15" s="193"/>
      <c r="H15" s="507">
        <f t="shared" si="1"/>
        <v>17533752</v>
      </c>
      <c r="I15" s="506">
        <v>13173491.018114761</v>
      </c>
      <c r="J15" s="193">
        <f t="shared" si="2"/>
        <v>0.75132185159883413</v>
      </c>
      <c r="K15" s="508"/>
      <c r="L15" s="196">
        <f t="shared" si="3"/>
        <v>0.20401856130067678</v>
      </c>
      <c r="N15" s="509">
        <v>0</v>
      </c>
    </row>
    <row r="16" spans="1:14" x14ac:dyDescent="0.2">
      <c r="A16" s="185">
        <f t="shared" si="4"/>
        <v>6</v>
      </c>
      <c r="B16" s="466" t="s">
        <v>233</v>
      </c>
      <c r="C16" s="185">
        <v>86</v>
      </c>
      <c r="D16" s="505">
        <v>5007638</v>
      </c>
      <c r="E16" s="506">
        <v>3667932.4469195115</v>
      </c>
      <c r="F16" s="193">
        <f t="shared" si="0"/>
        <v>0.73246757192103573</v>
      </c>
      <c r="G16" s="193"/>
      <c r="H16" s="507">
        <f t="shared" si="1"/>
        <v>5007638</v>
      </c>
      <c r="I16" s="506">
        <v>4318725.076919511</v>
      </c>
      <c r="J16" s="193">
        <f>I16/H16</f>
        <v>0.86242757102640222</v>
      </c>
      <c r="K16" s="508"/>
      <c r="L16" s="196">
        <f t="shared" si="3"/>
        <v>0.17742764879613943</v>
      </c>
      <c r="N16" s="509">
        <v>0</v>
      </c>
    </row>
    <row r="17" spans="1:14" x14ac:dyDescent="0.2">
      <c r="A17" s="185">
        <f t="shared" si="4"/>
        <v>7</v>
      </c>
      <c r="B17" s="466" t="s">
        <v>232</v>
      </c>
      <c r="C17" s="185">
        <v>87</v>
      </c>
      <c r="D17" s="505">
        <v>18486702</v>
      </c>
      <c r="E17" s="506">
        <v>8318093.6884864513</v>
      </c>
      <c r="F17" s="193">
        <f t="shared" si="0"/>
        <v>0.44995011487102737</v>
      </c>
      <c r="G17" s="193"/>
      <c r="H17" s="507">
        <f t="shared" si="1"/>
        <v>18486702</v>
      </c>
      <c r="I17" s="506">
        <v>10656661.498486452</v>
      </c>
      <c r="J17" s="193">
        <f t="shared" si="2"/>
        <v>0.57645011524967793</v>
      </c>
      <c r="K17" s="508"/>
      <c r="L17" s="196">
        <f t="shared" si="3"/>
        <v>0.28114227821657573</v>
      </c>
      <c r="N17" s="509">
        <v>0</v>
      </c>
    </row>
    <row r="18" spans="1:14" x14ac:dyDescent="0.2">
      <c r="A18" s="185">
        <f t="shared" si="4"/>
        <v>8</v>
      </c>
      <c r="B18" s="466" t="s">
        <v>231</v>
      </c>
      <c r="C18" s="185" t="s">
        <v>230</v>
      </c>
      <c r="D18" s="505">
        <v>0</v>
      </c>
      <c r="E18" s="506">
        <v>0</v>
      </c>
      <c r="F18" s="193">
        <f>F13</f>
        <v>1.2310239713441318</v>
      </c>
      <c r="G18" s="193"/>
      <c r="H18" s="507">
        <f t="shared" si="1"/>
        <v>0</v>
      </c>
      <c r="I18" s="506">
        <v>0</v>
      </c>
      <c r="J18" s="193">
        <f>F18</f>
        <v>1.2310239713441318</v>
      </c>
      <c r="K18" s="508"/>
      <c r="L18" s="196">
        <f>(J18-F18)/F18</f>
        <v>0</v>
      </c>
      <c r="N18" s="509">
        <v>0</v>
      </c>
    </row>
    <row r="19" spans="1:14" x14ac:dyDescent="0.2">
      <c r="A19" s="185">
        <f t="shared" si="4"/>
        <v>9</v>
      </c>
      <c r="B19" s="466" t="s">
        <v>229</v>
      </c>
      <c r="C19" s="185" t="s">
        <v>228</v>
      </c>
      <c r="D19" s="505">
        <v>21124071</v>
      </c>
      <c r="E19" s="506">
        <v>8290100.0639076885</v>
      </c>
      <c r="F19" s="193">
        <f t="shared" si="0"/>
        <v>0.39244803068062439</v>
      </c>
      <c r="G19" s="193"/>
      <c r="H19" s="507">
        <f t="shared" si="1"/>
        <v>21124071</v>
      </c>
      <c r="I19" s="506">
        <v>8290100.0639076885</v>
      </c>
      <c r="J19" s="193">
        <f t="shared" si="2"/>
        <v>0.39244803068062439</v>
      </c>
      <c r="K19" s="508"/>
      <c r="L19" s="196">
        <f t="shared" si="3"/>
        <v>0</v>
      </c>
      <c r="N19" s="509">
        <v>0</v>
      </c>
    </row>
    <row r="20" spans="1:14" x14ac:dyDescent="0.2">
      <c r="A20" s="185">
        <f t="shared" si="4"/>
        <v>10</v>
      </c>
      <c r="B20" s="466" t="s">
        <v>227</v>
      </c>
      <c r="C20" s="185" t="s">
        <v>226</v>
      </c>
      <c r="D20" s="505">
        <v>55422592</v>
      </c>
      <c r="E20" s="506">
        <v>13959607.715576665</v>
      </c>
      <c r="F20" s="193">
        <f t="shared" si="0"/>
        <v>0.25187576422944391</v>
      </c>
      <c r="G20" s="193"/>
      <c r="H20" s="507">
        <f t="shared" si="1"/>
        <v>55422592</v>
      </c>
      <c r="I20" s="506">
        <v>13959607.715576665</v>
      </c>
      <c r="J20" s="193">
        <f t="shared" si="2"/>
        <v>0.25187576422944391</v>
      </c>
      <c r="K20" s="508"/>
      <c r="L20" s="196">
        <f t="shared" si="3"/>
        <v>0</v>
      </c>
      <c r="N20" s="509">
        <v>0</v>
      </c>
    </row>
    <row r="21" spans="1:14" x14ac:dyDescent="0.2">
      <c r="A21" s="185">
        <f t="shared" si="4"/>
        <v>11</v>
      </c>
      <c r="B21" s="466" t="s">
        <v>225</v>
      </c>
      <c r="C21" s="185" t="s">
        <v>224</v>
      </c>
      <c r="D21" s="505">
        <v>1365732</v>
      </c>
      <c r="E21" s="506">
        <v>465897.34232752275</v>
      </c>
      <c r="F21" s="193">
        <f t="shared" si="0"/>
        <v>0.34113379662153537</v>
      </c>
      <c r="G21" s="193"/>
      <c r="H21" s="507">
        <f t="shared" si="1"/>
        <v>1365732</v>
      </c>
      <c r="I21" s="506">
        <v>465897.34232752275</v>
      </c>
      <c r="J21" s="193">
        <f t="shared" si="2"/>
        <v>0.34113379662153537</v>
      </c>
      <c r="K21" s="508"/>
      <c r="L21" s="196">
        <f t="shared" si="3"/>
        <v>0</v>
      </c>
      <c r="N21" s="509">
        <v>0</v>
      </c>
    </row>
    <row r="22" spans="1:14" x14ac:dyDescent="0.2">
      <c r="A22" s="185">
        <f t="shared" si="4"/>
        <v>12</v>
      </c>
      <c r="B22" s="466" t="s">
        <v>223</v>
      </c>
      <c r="C22" s="185" t="s">
        <v>222</v>
      </c>
      <c r="D22" s="505">
        <v>73729827</v>
      </c>
      <c r="E22" s="506">
        <v>5304194.9229425192</v>
      </c>
      <c r="F22" s="193">
        <f t="shared" si="0"/>
        <v>7.1940965261487994E-2</v>
      </c>
      <c r="G22" s="193"/>
      <c r="H22" s="507">
        <f t="shared" si="1"/>
        <v>73729827</v>
      </c>
      <c r="I22" s="506">
        <v>5304194.9229425192</v>
      </c>
      <c r="J22" s="193">
        <f t="shared" si="2"/>
        <v>7.1940965261487994E-2</v>
      </c>
      <c r="K22" s="508"/>
      <c r="L22" s="196">
        <f t="shared" si="3"/>
        <v>0</v>
      </c>
      <c r="N22" s="509">
        <v>0</v>
      </c>
    </row>
    <row r="23" spans="1:14" x14ac:dyDescent="0.2">
      <c r="A23" s="185">
        <f t="shared" si="4"/>
        <v>13</v>
      </c>
      <c r="B23" s="466" t="s">
        <v>221</v>
      </c>
      <c r="C23" s="185" t="s">
        <v>208</v>
      </c>
      <c r="D23" s="505">
        <v>33595800</v>
      </c>
      <c r="E23" s="506">
        <v>4677561.8962804954</v>
      </c>
      <c r="F23" s="193">
        <f t="shared" si="0"/>
        <v>0.13923055549445154</v>
      </c>
      <c r="G23" s="193"/>
      <c r="H23" s="507">
        <f t="shared" si="1"/>
        <v>33595800</v>
      </c>
      <c r="I23" s="506">
        <v>4677561.8962804954</v>
      </c>
      <c r="J23" s="193">
        <f t="shared" si="2"/>
        <v>0.13923055549445154</v>
      </c>
      <c r="K23" s="508"/>
      <c r="L23" s="196">
        <f t="shared" si="3"/>
        <v>0</v>
      </c>
      <c r="N23" s="509">
        <v>0</v>
      </c>
    </row>
    <row r="24" spans="1:14" x14ac:dyDescent="0.2">
      <c r="A24" s="185">
        <f t="shared" si="4"/>
        <v>14</v>
      </c>
      <c r="B24" s="466" t="s">
        <v>207</v>
      </c>
      <c r="C24" s="185"/>
      <c r="D24" s="505">
        <v>33552816</v>
      </c>
      <c r="E24" s="506">
        <v>3202078.9903146061</v>
      </c>
      <c r="F24" s="193">
        <f t="shared" si="0"/>
        <v>9.5433986533786194E-2</v>
      </c>
      <c r="G24" s="510"/>
      <c r="H24" s="507">
        <f t="shared" si="1"/>
        <v>33552816</v>
      </c>
      <c r="I24" s="506">
        <v>3202078.9903146061</v>
      </c>
      <c r="J24" s="193">
        <f t="shared" si="2"/>
        <v>9.5433986533786194E-2</v>
      </c>
      <c r="K24" s="508"/>
      <c r="L24" s="196">
        <f t="shared" si="3"/>
        <v>0</v>
      </c>
      <c r="M24" s="336"/>
      <c r="N24" s="509">
        <v>0</v>
      </c>
    </row>
    <row r="25" spans="1:14" x14ac:dyDescent="0.2">
      <c r="A25" s="185">
        <f t="shared" si="4"/>
        <v>15</v>
      </c>
      <c r="B25" s="466" t="s">
        <v>10</v>
      </c>
      <c r="D25" s="511">
        <f>SUM(D11:D24)</f>
        <v>1116377814</v>
      </c>
      <c r="E25" s="200">
        <f>SUM(E11:E24)</f>
        <v>1171800311.0973477</v>
      </c>
      <c r="F25" s="218">
        <f>E25/D25</f>
        <v>1.0496449288066447</v>
      </c>
      <c r="G25" s="510"/>
      <c r="H25" s="511">
        <f>SUM(H11:H24)</f>
        <v>1116377814</v>
      </c>
      <c r="I25" s="200">
        <f>SUM(I11:I24)</f>
        <v>1296196594.3273482</v>
      </c>
      <c r="J25" s="218">
        <f>I25/H25</f>
        <v>1.1610734090845594</v>
      </c>
      <c r="K25" s="512"/>
      <c r="L25" s="202">
        <f>(I25-E25)/E25</f>
        <v>0.10615826096983023</v>
      </c>
      <c r="M25" s="273"/>
      <c r="N25" s="509">
        <v>4.3021142204224816E-16</v>
      </c>
    </row>
    <row r="26" spans="1:14" s="356" customFormat="1" x14ac:dyDescent="0.2">
      <c r="A26" s="185"/>
      <c r="B26" s="215"/>
      <c r="C26" s="513"/>
      <c r="D26" s="513"/>
      <c r="E26" s="513"/>
      <c r="F26" s="111"/>
      <c r="G26" s="8"/>
      <c r="H26" s="513"/>
      <c r="I26" s="513"/>
      <c r="J26" s="111"/>
      <c r="K26" s="111"/>
      <c r="L26" s="514"/>
      <c r="M26" s="220"/>
      <c r="N26" s="515"/>
    </row>
    <row r="27" spans="1:14" s="356" customFormat="1" x14ac:dyDescent="0.2">
      <c r="A27" s="185"/>
      <c r="B27" s="204" t="s">
        <v>220</v>
      </c>
      <c r="C27" s="205"/>
      <c r="D27" s="205"/>
      <c r="E27" s="205"/>
      <c r="F27" s="516"/>
      <c r="G27" s="220"/>
      <c r="H27" s="205"/>
      <c r="I27" s="205"/>
      <c r="J27" s="516"/>
      <c r="K27" s="516"/>
      <c r="L27" s="273"/>
      <c r="M27" s="220"/>
      <c r="N27" s="515"/>
    </row>
    <row r="28" spans="1:14" s="356" customFormat="1" x14ac:dyDescent="0.2">
      <c r="A28" s="185">
        <f>A25+1</f>
        <v>16</v>
      </c>
      <c r="B28" s="210" t="s">
        <v>14</v>
      </c>
      <c r="C28" s="211" t="s">
        <v>219</v>
      </c>
      <c r="D28" s="212">
        <f>D11+D12</f>
        <v>563383571</v>
      </c>
      <c r="E28" s="213">
        <f>E11+E12</f>
        <v>776503171.41941071</v>
      </c>
      <c r="F28" s="140">
        <f>E28/D28</f>
        <v>1.378285082117545</v>
      </c>
      <c r="G28" s="367"/>
      <c r="H28" s="212">
        <f>H11+H12</f>
        <v>563383571</v>
      </c>
      <c r="I28" s="213">
        <f>I11+I12</f>
        <v>855438843.55941081</v>
      </c>
      <c r="J28" s="140">
        <f>I28/H28</f>
        <v>1.5183950821303074</v>
      </c>
      <c r="K28" s="111"/>
      <c r="L28" s="196">
        <f>(I28-E28)/E28</f>
        <v>0.10165531197472055</v>
      </c>
      <c r="M28" s="517"/>
      <c r="N28" s="509">
        <v>1.3877787807814457E-16</v>
      </c>
    </row>
    <row r="29" spans="1:14" s="356" customFormat="1" x14ac:dyDescent="0.2">
      <c r="A29" s="185">
        <f t="shared" si="4"/>
        <v>17</v>
      </c>
      <c r="B29" s="214" t="s">
        <v>218</v>
      </c>
      <c r="C29" s="211" t="s">
        <v>217</v>
      </c>
      <c r="D29" s="212">
        <f t="shared" ref="D29:E33" si="5">D13+D18</f>
        <v>230116288</v>
      </c>
      <c r="E29" s="213">
        <f t="shared" si="5"/>
        <v>283278666.72472996</v>
      </c>
      <c r="F29" s="140">
        <f t="shared" ref="F29:F35" si="6">E29/D29</f>
        <v>1.2310239713441318</v>
      </c>
      <c r="G29" s="367"/>
      <c r="H29" s="212">
        <f t="shared" ref="H29:I33" si="7">H13+H18</f>
        <v>230116288</v>
      </c>
      <c r="I29" s="213">
        <f t="shared" si="7"/>
        <v>315195795.87472993</v>
      </c>
      <c r="J29" s="140">
        <f t="shared" ref="J29:J35" si="8">I29/H29</f>
        <v>1.3697239713632523</v>
      </c>
      <c r="K29" s="111"/>
      <c r="L29" s="196">
        <f t="shared" ref="L29:L36" si="9">(I29-E29)/E29</f>
        <v>0.11267042985984811</v>
      </c>
      <c r="M29" s="220"/>
      <c r="N29" s="509">
        <v>0</v>
      </c>
    </row>
    <row r="30" spans="1:14" s="356" customFormat="1" x14ac:dyDescent="0.2">
      <c r="A30" s="185">
        <f t="shared" si="4"/>
        <v>18</v>
      </c>
      <c r="B30" s="210" t="s">
        <v>216</v>
      </c>
      <c r="C30" s="211" t="s">
        <v>215</v>
      </c>
      <c r="D30" s="212">
        <f t="shared" si="5"/>
        <v>84183096</v>
      </c>
      <c r="E30" s="213">
        <f t="shared" si="5"/>
        <v>61481836.902244739</v>
      </c>
      <c r="F30" s="140">
        <f t="shared" si="6"/>
        <v>0.7303347087905242</v>
      </c>
      <c r="G30" s="367"/>
      <c r="H30" s="212">
        <f t="shared" si="7"/>
        <v>84183096</v>
      </c>
      <c r="I30" s="213">
        <f t="shared" si="7"/>
        <v>69803736.432244733</v>
      </c>
      <c r="J30" s="140">
        <f t="shared" si="8"/>
        <v>0.82918946616366707</v>
      </c>
      <c r="K30" s="111"/>
      <c r="L30" s="196">
        <f t="shared" si="9"/>
        <v>0.13535541469315071</v>
      </c>
      <c r="M30" s="220"/>
      <c r="N30" s="509">
        <v>0</v>
      </c>
    </row>
    <row r="31" spans="1:14" s="356" customFormat="1" x14ac:dyDescent="0.2">
      <c r="A31" s="185">
        <f t="shared" si="4"/>
        <v>19</v>
      </c>
      <c r="B31" s="210" t="s">
        <v>38</v>
      </c>
      <c r="C31" s="211" t="s">
        <v>214</v>
      </c>
      <c r="D31" s="212">
        <f t="shared" si="5"/>
        <v>72956344</v>
      </c>
      <c r="E31" s="213">
        <f t="shared" si="5"/>
        <v>24900876.763691425</v>
      </c>
      <c r="F31" s="140">
        <f t="shared" si="6"/>
        <v>0.34131201480835477</v>
      </c>
      <c r="G31" s="367"/>
      <c r="H31" s="212">
        <f t="shared" si="7"/>
        <v>72956344</v>
      </c>
      <c r="I31" s="213">
        <f t="shared" si="7"/>
        <v>27133098.733691424</v>
      </c>
      <c r="J31" s="140">
        <f t="shared" si="8"/>
        <v>0.37190869561242573</v>
      </c>
      <c r="K31" s="111"/>
      <c r="L31" s="196">
        <f t="shared" si="9"/>
        <v>8.964431217357198E-2</v>
      </c>
      <c r="M31" s="220"/>
      <c r="N31" s="509">
        <v>0</v>
      </c>
    </row>
    <row r="32" spans="1:14" s="356" customFormat="1" x14ac:dyDescent="0.2">
      <c r="A32" s="185">
        <f t="shared" si="4"/>
        <v>20</v>
      </c>
      <c r="B32" s="210" t="s">
        <v>213</v>
      </c>
      <c r="C32" s="211" t="s">
        <v>212</v>
      </c>
      <c r="D32" s="212">
        <f t="shared" si="5"/>
        <v>6373370</v>
      </c>
      <c r="E32" s="213">
        <f t="shared" si="5"/>
        <v>4133829.7892470341</v>
      </c>
      <c r="F32" s="140">
        <f t="shared" si="6"/>
        <v>0.64860972911458681</v>
      </c>
      <c r="G32" s="367"/>
      <c r="H32" s="212">
        <f t="shared" si="7"/>
        <v>6373370</v>
      </c>
      <c r="I32" s="213">
        <f t="shared" si="7"/>
        <v>4784622.419247034</v>
      </c>
      <c r="J32" s="140">
        <f t="shared" si="8"/>
        <v>0.75072095598514355</v>
      </c>
      <c r="K32" s="111"/>
      <c r="L32" s="196">
        <f t="shared" si="9"/>
        <v>0.15743092076331958</v>
      </c>
      <c r="M32" s="220"/>
      <c r="N32" s="509">
        <v>0</v>
      </c>
    </row>
    <row r="33" spans="1:14" s="356" customFormat="1" x14ac:dyDescent="0.2">
      <c r="A33" s="185">
        <f t="shared" si="4"/>
        <v>21</v>
      </c>
      <c r="B33" s="215" t="s">
        <v>211</v>
      </c>
      <c r="C33" s="211" t="s">
        <v>210</v>
      </c>
      <c r="D33" s="212">
        <f t="shared" si="5"/>
        <v>92216529</v>
      </c>
      <c r="E33" s="213">
        <f t="shared" si="5"/>
        <v>13622288.61142897</v>
      </c>
      <c r="F33" s="140">
        <f t="shared" si="6"/>
        <v>0.14772068260592383</v>
      </c>
      <c r="G33" s="367"/>
      <c r="H33" s="212">
        <f t="shared" si="7"/>
        <v>92216529</v>
      </c>
      <c r="I33" s="213">
        <f t="shared" si="7"/>
        <v>15960856.421428971</v>
      </c>
      <c r="J33" s="140">
        <f t="shared" si="8"/>
        <v>0.17308021234923049</v>
      </c>
      <c r="K33" s="111"/>
      <c r="L33" s="196">
        <f t="shared" si="9"/>
        <v>0.17167216733596177</v>
      </c>
      <c r="M33" s="220"/>
      <c r="N33" s="509">
        <v>0</v>
      </c>
    </row>
    <row r="34" spans="1:14" s="356" customFormat="1" x14ac:dyDescent="0.2">
      <c r="A34" s="185">
        <f t="shared" si="4"/>
        <v>22</v>
      </c>
      <c r="B34" s="215" t="s">
        <v>370</v>
      </c>
      <c r="C34" s="211" t="s">
        <v>208</v>
      </c>
      <c r="D34" s="212">
        <f>D23</f>
        <v>33595800</v>
      </c>
      <c r="E34" s="213">
        <f>E23</f>
        <v>4677561.8962804954</v>
      </c>
      <c r="F34" s="140">
        <f t="shared" si="6"/>
        <v>0.13923055549445154</v>
      </c>
      <c r="G34" s="367"/>
      <c r="H34" s="212">
        <f>H23</f>
        <v>33595800</v>
      </c>
      <c r="I34" s="213">
        <f>I23</f>
        <v>4677561.8962804954</v>
      </c>
      <c r="J34" s="140">
        <f t="shared" si="8"/>
        <v>0.13923055549445154</v>
      </c>
      <c r="K34" s="111"/>
      <c r="L34" s="196">
        <f t="shared" si="9"/>
        <v>0</v>
      </c>
      <c r="M34" s="220"/>
      <c r="N34" s="509">
        <v>0</v>
      </c>
    </row>
    <row r="35" spans="1:14" s="356" customFormat="1" x14ac:dyDescent="0.2">
      <c r="A35" s="185">
        <f t="shared" si="4"/>
        <v>23</v>
      </c>
      <c r="B35" s="215" t="s">
        <v>207</v>
      </c>
      <c r="C35" s="211"/>
      <c r="D35" s="212">
        <f>D24</f>
        <v>33552816</v>
      </c>
      <c r="E35" s="213">
        <f>E24</f>
        <v>3202078.9903146061</v>
      </c>
      <c r="F35" s="140">
        <f t="shared" si="6"/>
        <v>9.5433986533786194E-2</v>
      </c>
      <c r="G35" s="367"/>
      <c r="H35" s="212">
        <f>H24</f>
        <v>33552816</v>
      </c>
      <c r="I35" s="213">
        <f>I24</f>
        <v>3202078.9903146061</v>
      </c>
      <c r="J35" s="140">
        <f t="shared" si="8"/>
        <v>9.5433986533786194E-2</v>
      </c>
      <c r="K35" s="111"/>
      <c r="L35" s="196">
        <f t="shared" si="9"/>
        <v>0</v>
      </c>
      <c r="M35" s="220"/>
      <c r="N35" s="509">
        <v>0</v>
      </c>
    </row>
    <row r="36" spans="1:14" s="356" customFormat="1" x14ac:dyDescent="0.2">
      <c r="A36" s="185">
        <f t="shared" si="4"/>
        <v>24</v>
      </c>
      <c r="B36" s="215" t="s">
        <v>10</v>
      </c>
      <c r="C36" s="215"/>
      <c r="D36" s="518">
        <f>SUM(D28:D35)</f>
        <v>1116377814</v>
      </c>
      <c r="E36" s="519">
        <f>SUM(E28:E35)</f>
        <v>1171800311.0973482</v>
      </c>
      <c r="F36" s="520">
        <f>E36/D36</f>
        <v>1.0496449288066452</v>
      </c>
      <c r="G36" s="367"/>
      <c r="H36" s="518">
        <f>SUM(H28:H35)</f>
        <v>1116377814</v>
      </c>
      <c r="I36" s="519">
        <f>SUM(I28:I35)</f>
        <v>1296196594.3273482</v>
      </c>
      <c r="J36" s="520">
        <f>I36/H36</f>
        <v>1.1610734090845594</v>
      </c>
      <c r="K36" s="111"/>
      <c r="L36" s="202">
        <f t="shared" si="9"/>
        <v>0.10615826096982979</v>
      </c>
      <c r="M36" s="220"/>
      <c r="N36" s="509">
        <v>0</v>
      </c>
    </row>
    <row r="37" spans="1:14" s="356" customFormat="1" x14ac:dyDescent="0.2">
      <c r="B37" s="215"/>
      <c r="C37" s="215"/>
      <c r="D37" s="215"/>
      <c r="E37" s="215"/>
      <c r="F37" s="213"/>
      <c r="G37" s="367"/>
      <c r="H37" s="215"/>
      <c r="I37" s="215"/>
      <c r="J37" s="213"/>
      <c r="K37" s="111"/>
      <c r="L37" s="281"/>
      <c r="M37" s="220"/>
      <c r="N37" s="509"/>
    </row>
    <row r="38" spans="1:14" x14ac:dyDescent="0.2">
      <c r="B38" s="466" t="s">
        <v>372</v>
      </c>
    </row>
  </sheetData>
  <mergeCells count="2">
    <mergeCell ref="D6:F6"/>
    <mergeCell ref="H6:J6"/>
  </mergeCells>
  <printOptions horizontalCentered="1"/>
  <pageMargins left="0.7" right="0.7" top="0.75" bottom="0.75" header="0.3" footer="0.3"/>
  <pageSetup scale="81" orientation="landscape" blackAndWhite="1" r:id="rId1"/>
  <headerFooter>
    <oddFooter>&amp;L&amp;F 
&amp;A&amp;RPage# &amp;P of &amp;N</oddFoot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"/>
  <sheetViews>
    <sheetView workbookViewId="0">
      <selection activeCell="M30" sqref="M30"/>
    </sheetView>
  </sheetViews>
  <sheetFormatPr defaultRowHeight="12.75" x14ac:dyDescent="0.2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Normal="100" workbookViewId="0">
      <selection activeCell="O40" sqref="O40"/>
    </sheetView>
  </sheetViews>
  <sheetFormatPr defaultRowHeight="11.25" x14ac:dyDescent="0.2"/>
  <cols>
    <col min="1" max="1" width="55.85546875" style="279" customWidth="1"/>
    <col min="2" max="2" width="16.140625" style="279" customWidth="1"/>
    <col min="3" max="16384" width="9.140625" style="279"/>
  </cols>
  <sheetData>
    <row r="1" spans="1:3" x14ac:dyDescent="0.2">
      <c r="A1" s="540" t="s">
        <v>11</v>
      </c>
      <c r="B1" s="540"/>
    </row>
    <row r="2" spans="1:3" s="280" customFormat="1" x14ac:dyDescent="0.2">
      <c r="A2" s="543" t="s">
        <v>203</v>
      </c>
      <c r="B2" s="543"/>
    </row>
    <row r="3" spans="1:3" s="280" customFormat="1" x14ac:dyDescent="0.2">
      <c r="A3" s="543" t="s">
        <v>194</v>
      </c>
      <c r="B3" s="543"/>
    </row>
    <row r="4" spans="1:3" s="280" customFormat="1" x14ac:dyDescent="0.2">
      <c r="A4" s="543" t="s">
        <v>199</v>
      </c>
      <c r="B4" s="543"/>
    </row>
    <row r="5" spans="1:3" s="280" customFormat="1" x14ac:dyDescent="0.2"/>
    <row r="6" spans="1:3" s="280" customFormat="1" x14ac:dyDescent="0.2"/>
    <row r="7" spans="1:3" s="280" customFormat="1" x14ac:dyDescent="0.2">
      <c r="A7" s="280" t="s">
        <v>205</v>
      </c>
      <c r="B7" s="281">
        <v>656053162.24328077</v>
      </c>
    </row>
    <row r="8" spans="1:3" s="280" customFormat="1" x14ac:dyDescent="0.2">
      <c r="A8" s="280" t="s">
        <v>196</v>
      </c>
      <c r="B8" s="281">
        <v>451797202.7556076</v>
      </c>
      <c r="C8" s="277"/>
    </row>
    <row r="9" spans="1:3" s="280" customFormat="1" x14ac:dyDescent="0.2">
      <c r="A9" s="280" t="s">
        <v>197</v>
      </c>
      <c r="B9" s="281">
        <v>25899019.547461789</v>
      </c>
      <c r="C9" s="277"/>
    </row>
    <row r="10" spans="1:3" x14ac:dyDescent="0.2">
      <c r="A10" s="279" t="s">
        <v>193</v>
      </c>
      <c r="B10" s="282">
        <f>SUM(B7:B9)</f>
        <v>1133749384.5463502</v>
      </c>
    </row>
    <row r="11" spans="1:3" x14ac:dyDescent="0.2">
      <c r="B11" s="283"/>
    </row>
    <row r="12" spans="1:3" ht="12" thickBot="1" x14ac:dyDescent="0.25">
      <c r="A12" s="279" t="s">
        <v>192</v>
      </c>
      <c r="B12" s="283">
        <f>B10*0.05</f>
        <v>56687469.227317512</v>
      </c>
    </row>
    <row r="13" spans="1:3" x14ac:dyDescent="0.2">
      <c r="A13" s="280" t="s">
        <v>204</v>
      </c>
      <c r="B13" s="523"/>
      <c r="C13" s="278"/>
    </row>
    <row r="14" spans="1:3" ht="12" thickBot="1" x14ac:dyDescent="0.25">
      <c r="A14" s="279" t="s">
        <v>191</v>
      </c>
      <c r="B14" s="524"/>
    </row>
    <row r="15" spans="1:3" ht="12" thickBot="1" x14ac:dyDescent="0.25"/>
    <row r="16" spans="1:3" ht="12" thickBot="1" x14ac:dyDescent="0.25">
      <c r="A16" s="279" t="s">
        <v>195</v>
      </c>
      <c r="B16" s="284"/>
    </row>
    <row r="18" spans="1:3" x14ac:dyDescent="0.2">
      <c r="A18" s="401" t="s">
        <v>78</v>
      </c>
      <c r="B18" s="402"/>
      <c r="C18" s="280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horizontalDpi="90" verticalDpi="90" r:id="rId1"/>
  <headerFooter>
    <oddFooter>&amp;L&amp;F
&amp;A&amp;RPage# &amp;P of &amp;N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756534B2187064F9B27E5AF0EE4F322" ma:contentTypeVersion="16" ma:contentTypeDescription="" ma:contentTypeScope="" ma:versionID="7305acdaf459debfd6c32c4a3053dde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2024-09-16T07:00:00+00:00</OpenedDate>
    <SignificantOrder xmlns="dc463f71-b30c-4ab2-9473-d307f9d35888">false</SignificantOrder>
    <Date1 xmlns="dc463f71-b30c-4ab2-9473-d307f9d35888">2024-09-16T07:00:00+00:00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240708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534B5C2-A7A6-4316-A27C-77D460DB0F0E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2B7D5306-F162-471B-AC94-9BC08F0ADB4B}"/>
</file>

<file path=customXml/itemProps3.xml><?xml version="1.0" encoding="utf-8"?>
<ds:datastoreItem xmlns:ds="http://schemas.openxmlformats.org/officeDocument/2006/customXml" ds:itemID="{A326D324-B316-444E-BD1C-E791E8BF7EB8}"/>
</file>

<file path=customXml/itemProps4.xml><?xml version="1.0" encoding="utf-8"?>
<ds:datastoreItem xmlns:ds="http://schemas.openxmlformats.org/officeDocument/2006/customXml" ds:itemID="{9005C7E3-E9E1-420A-843C-026F7900A7D1}"/>
</file>

<file path=customXml/itemProps5.xml><?xml version="1.0" encoding="utf-8"?>
<ds:datastoreItem xmlns:ds="http://schemas.openxmlformats.org/officeDocument/2006/customXml" ds:itemID="{6845A7F7-35E9-484F-812C-E1915D31CE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REDACTED VERSION</vt:lpstr>
      <vt:lpstr>Rates Summary </vt:lpstr>
      <vt:lpstr>Rate Impacts-&gt;</vt:lpstr>
      <vt:lpstr>Rate Impacts Sch 101_106</vt:lpstr>
      <vt:lpstr>Typical Res Bill Sch 101_106</vt:lpstr>
      <vt:lpstr>Sch. 101</vt:lpstr>
      <vt:lpstr>Avg. Per Therm Combined</vt:lpstr>
      <vt:lpstr>Work Papers --&gt;</vt:lpstr>
      <vt:lpstr>(R) RNG 5% Calc.</vt:lpstr>
      <vt:lpstr>F2024 Forecast </vt:lpstr>
      <vt:lpstr>(R) PGA Cost Summary</vt:lpstr>
      <vt:lpstr>2022 GRC Gas Cost Allocation</vt:lpstr>
      <vt:lpstr>Conversion Factor</vt:lpstr>
      <vt:lpstr>'(R) PGA Cost Summary'!Print_Area</vt:lpstr>
      <vt:lpstr>'(R) RNG 5% Calc.'!Print_Area</vt:lpstr>
      <vt:lpstr>'2022 GRC Gas Cost Allocation'!Print_Area</vt:lpstr>
      <vt:lpstr>'Avg. Per Therm Combined'!Print_Area</vt:lpstr>
      <vt:lpstr>'Conversion Factor'!Print_Area</vt:lpstr>
      <vt:lpstr>'Rate Impacts Sch 101_106'!Print_Area</vt:lpstr>
      <vt:lpstr>'Rates Summary '!Print_Area</vt:lpstr>
      <vt:lpstr>'Sch. 101'!Print_Area</vt:lpstr>
      <vt:lpstr>'Typical Res Bill Sch 101_106'!Print_Area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</dc:creator>
  <cp:lastModifiedBy>Replyanskaya, Ekaterina - Transmission</cp:lastModifiedBy>
  <cp:lastPrinted>2024-09-11T21:39:27Z</cp:lastPrinted>
  <dcterms:created xsi:type="dcterms:W3CDTF">2003-08-13T16:19:50Z</dcterms:created>
  <dcterms:modified xsi:type="dcterms:W3CDTF">2024-09-13T17:41:09Z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0x0101006E56B4D1795A2E4DB2F0B01679ED314A001756534B2187064F9B27E5AF0EE4F322</vt:lpwstr>
  </property>
  <property fmtid="{D5CDD505-2E9C-101B-9397-08002B2CF9AE}" pid="3" name="_docset_NoMedatataSyncRequired">
    <vt:lpwstr>False</vt:lpwstr>
  </property>
</Properties>
</file>